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690" tabRatio="870" firstSheet="2" activeTab="6"/>
  </bookViews>
  <sheets>
    <sheet name="AWPA PL raw" sheetId="1" r:id="rId1"/>
    <sheet name="AWPA PL std.eq" sheetId="2" r:id="rId2"/>
    <sheet name="AWPA BP raw" sheetId="3" r:id="rId3"/>
    <sheet name="AWPC soft BP standart " sheetId="4" r:id="rId4"/>
    <sheet name="AWPC Folk BP 1 bw" sheetId="5" r:id="rId5"/>
    <sheet name="AWPA DL raw" sheetId="6" r:id="rId6"/>
    <sheet name="AWPA DL m-ply" sheetId="7" r:id="rId7"/>
    <sheet name="WPA PL raw" sheetId="8" r:id="rId8"/>
    <sheet name="WPA BP raw" sheetId="9" r:id="rId9"/>
    <sheet name="WPA BP std.eq" sheetId="10" r:id="rId10"/>
    <sheet name="WPC soft BP standard " sheetId="11" r:id="rId11"/>
    <sheet name="WPA BP m-ply" sheetId="12" r:id="rId12"/>
    <sheet name="WPC Folk BP 1 bw" sheetId="13" r:id="rId13"/>
    <sheet name="WPC Folk BP 1_2 bw" sheetId="14" r:id="rId14"/>
    <sheet name="WPA DL m-ply" sheetId="15" r:id="rId15"/>
    <sheet name="WPC Dl s-ply" sheetId="16" r:id="rId16"/>
    <sheet name="WPA DL raw" sheetId="17" r:id="rId17"/>
  </sheets>
  <definedNames/>
  <calcPr fullCalcOnLoad="1" refMode="R1C1"/>
</workbook>
</file>

<file path=xl/sharedStrings.xml><?xml version="1.0" encoding="utf-8"?>
<sst xmlns="http://schemas.openxmlformats.org/spreadsheetml/2006/main" count="3504" uniqueCount="953">
  <si>
    <t>Name</t>
  </si>
  <si>
    <t>Gloss</t>
  </si>
  <si>
    <t>Team</t>
  </si>
  <si>
    <t>Town</t>
  </si>
  <si>
    <t>Squat</t>
  </si>
  <si>
    <t>Benchpress</t>
  </si>
  <si>
    <t>Deadlift</t>
  </si>
  <si>
    <t>Totall</t>
  </si>
  <si>
    <t>Coach</t>
  </si>
  <si>
    <t>Pts</t>
  </si>
  <si>
    <t>Rec</t>
  </si>
  <si>
    <t>Body
weight</t>
  </si>
  <si>
    <t xml:space="preserve">Age Categoty
Bith date/Age
</t>
  </si>
  <si>
    <t>Body Weight Category  44</t>
  </si>
  <si>
    <t>Polstyanova Tatiana</t>
  </si>
  <si>
    <t>Masters 50-54 (20.04.1967)/51</t>
  </si>
  <si>
    <t>43,70</t>
  </si>
  <si>
    <t>Kyrgyzstan</t>
  </si>
  <si>
    <t>100,0</t>
  </si>
  <si>
    <t>110,0</t>
  </si>
  <si>
    <t>115,0</t>
  </si>
  <si>
    <t>50,0</t>
  </si>
  <si>
    <t>55,0</t>
  </si>
  <si>
    <t>57,5</t>
  </si>
  <si>
    <t>120,0</t>
  </si>
  <si>
    <t>125,0</t>
  </si>
  <si>
    <t>130,0</t>
  </si>
  <si>
    <t>Body Weight Category  48</t>
  </si>
  <si>
    <t>Belova Anna</t>
  </si>
  <si>
    <t>Open (15.07.1992)/26</t>
  </si>
  <si>
    <t>48,00</t>
  </si>
  <si>
    <t>70,0</t>
  </si>
  <si>
    <t>80,0</t>
  </si>
  <si>
    <t>90,0</t>
  </si>
  <si>
    <t>45,0</t>
  </si>
  <si>
    <t>Body Weight Category  60</t>
  </si>
  <si>
    <t>Ushmodina Darya</t>
  </si>
  <si>
    <t>Open (14.02.1990)/28</t>
  </si>
  <si>
    <t>59,50</t>
  </si>
  <si>
    <t>60,0</t>
  </si>
  <si>
    <t>Body Weight Category  67.5</t>
  </si>
  <si>
    <t>Onishenko Anastasiya</t>
  </si>
  <si>
    <t>Open (05.11.1986)/32</t>
  </si>
  <si>
    <t>67,10</t>
  </si>
  <si>
    <t>lichno</t>
  </si>
  <si>
    <t>Kazakhstan</t>
  </si>
  <si>
    <t>150,0</t>
  </si>
  <si>
    <t>160,0</t>
  </si>
  <si>
    <t>75,0</t>
  </si>
  <si>
    <t>77,5</t>
  </si>
  <si>
    <t>180,0</t>
  </si>
  <si>
    <t>190,0</t>
  </si>
  <si>
    <t>200,0</t>
  </si>
  <si>
    <t>202,5</t>
  </si>
  <si>
    <t>Takutdinova Nailya</t>
  </si>
  <si>
    <t>Masters 50-54 (28.10.1966)/52</t>
  </si>
  <si>
    <t>65,90</t>
  </si>
  <si>
    <t>62,5</t>
  </si>
  <si>
    <t>65,0</t>
  </si>
  <si>
    <t>Body Weight Category  52</t>
  </si>
  <si>
    <t>Sayitov Talantbek</t>
  </si>
  <si>
    <t>Masters 40-44 (28.04.1978)/40</t>
  </si>
  <si>
    <t>51,20</t>
  </si>
  <si>
    <t>Body Weight Category  82.5</t>
  </si>
  <si>
    <t>Nurzhanov Iminjan</t>
  </si>
  <si>
    <t>Juniors 20-23 (03.03.1996)/22</t>
  </si>
  <si>
    <t>80,20</t>
  </si>
  <si>
    <t>210,0</t>
  </si>
  <si>
    <t>220,0</t>
  </si>
  <si>
    <t>140,0</t>
  </si>
  <si>
    <t>205,0</t>
  </si>
  <si>
    <t>Svatkovskiy Yan</t>
  </si>
  <si>
    <t>Open (30.03.1989)/29</t>
  </si>
  <si>
    <t>81,90</t>
  </si>
  <si>
    <t>170,0</t>
  </si>
  <si>
    <t>192,5</t>
  </si>
  <si>
    <t>155,0</t>
  </si>
  <si>
    <t>225,0</t>
  </si>
  <si>
    <t>235,0</t>
  </si>
  <si>
    <t>Body Weight Category  90</t>
  </si>
  <si>
    <t>Terekhov Vladislav</t>
  </si>
  <si>
    <t>Juniors 20-23 (25.01.1998)/20</t>
  </si>
  <si>
    <t>87,70</t>
  </si>
  <si>
    <t>135,0</t>
  </si>
  <si>
    <t>215,0</t>
  </si>
  <si>
    <t>230,0</t>
  </si>
  <si>
    <t>Arkhipov Aleksandr</t>
  </si>
  <si>
    <t>Open (18.11.1992)/26</t>
  </si>
  <si>
    <t>88,80</t>
  </si>
  <si>
    <t>Latviya/</t>
  </si>
  <si>
    <t>270,0</t>
  </si>
  <si>
    <t>280,0</t>
  </si>
  <si>
    <t>300,0</t>
  </si>
  <si>
    <t>Massalin Konstantin</t>
  </si>
  <si>
    <t>Open (26.04.1983)/35</t>
  </si>
  <si>
    <t>86,50</t>
  </si>
  <si>
    <t>Krasnoarmeysk/Moskovskaya oblast</t>
  </si>
  <si>
    <t>Belimov Aleksandr</t>
  </si>
  <si>
    <t>Open (27.12.1988)/30</t>
  </si>
  <si>
    <t>88,60</t>
  </si>
  <si>
    <t>175,0</t>
  </si>
  <si>
    <t>282,5</t>
  </si>
  <si>
    <t>Tyryshkin Maksim</t>
  </si>
  <si>
    <t>Masters 40-44 (01.02.1977)/41</t>
  </si>
  <si>
    <t>85,70</t>
  </si>
  <si>
    <t>185,0</t>
  </si>
  <si>
    <t>142,5</t>
  </si>
  <si>
    <t>Body Weight Category  110</t>
  </si>
  <si>
    <t>Umerenkov Igor</t>
  </si>
  <si>
    <t>Open (13.09.1980)/38</t>
  </si>
  <si>
    <t>110,00</t>
  </si>
  <si>
    <t>Russia</t>
  </si>
  <si>
    <t>Kursk/Kurskaya oblast</t>
  </si>
  <si>
    <t>260,0</t>
  </si>
  <si>
    <t>272,5</t>
  </si>
  <si>
    <t>172,5</t>
  </si>
  <si>
    <t>310,0</t>
  </si>
  <si>
    <t>Sub Masters 33-39 (13.09.1980)/38</t>
  </si>
  <si>
    <t>Meet director:</t>
  </si>
  <si>
    <t>Head secretary:</t>
  </si>
  <si>
    <t>Head Referee:</t>
  </si>
  <si>
    <t>Side Referyy Left:</t>
  </si>
  <si>
    <t>Side Referyy Right:</t>
  </si>
  <si>
    <t>Fligth secretary:</t>
  </si>
  <si>
    <t>List absolute winners</t>
  </si>
  <si>
    <t>Women</t>
  </si>
  <si>
    <t>Open</t>
  </si>
  <si>
    <t>Age class</t>
  </si>
  <si>
    <t>WC</t>
  </si>
  <si>
    <t>Coef.</t>
  </si>
  <si>
    <t>67.5</t>
  </si>
  <si>
    <t>437,5</t>
  </si>
  <si>
    <t>342,4313</t>
  </si>
  <si>
    <t>48</t>
  </si>
  <si>
    <t>240,0</t>
  </si>
  <si>
    <t>248,0640</t>
  </si>
  <si>
    <t>60</t>
  </si>
  <si>
    <t>242,5920</t>
  </si>
  <si>
    <t>Masters</t>
  </si>
  <si>
    <t>Masters 50-54</t>
  </si>
  <si>
    <t>44</t>
  </si>
  <si>
    <t>297,5</t>
  </si>
  <si>
    <t>398,9878</t>
  </si>
  <si>
    <t>242,5</t>
  </si>
  <si>
    <t>238,8036</t>
  </si>
  <si>
    <t>Man</t>
  </si>
  <si>
    <t>Junior</t>
  </si>
  <si>
    <t>Juniors 20-23</t>
  </si>
  <si>
    <t>82.5</t>
  </si>
  <si>
    <t>555,0</t>
  </si>
  <si>
    <t>350,6490</t>
  </si>
  <si>
    <t>90</t>
  </si>
  <si>
    <t>540,0</t>
  </si>
  <si>
    <t>321,1380</t>
  </si>
  <si>
    <t>700,0</t>
  </si>
  <si>
    <t>413,0700</t>
  </si>
  <si>
    <t>110</t>
  </si>
  <si>
    <t>762,5</t>
  </si>
  <si>
    <t>409,0812</t>
  </si>
  <si>
    <t>345,4320</t>
  </si>
  <si>
    <t>Masters 40-44</t>
  </si>
  <si>
    <t>552,5</t>
  </si>
  <si>
    <t>334,4895</t>
  </si>
  <si>
    <t>52</t>
  </si>
  <si>
    <t>245,0</t>
  </si>
  <si>
    <t>237,4050</t>
  </si>
  <si>
    <t>Body Weight Category  56</t>
  </si>
  <si>
    <t>Tirishkina Alena</t>
  </si>
  <si>
    <t>Masters 40-44 (05.06.1977)/41</t>
  </si>
  <si>
    <t>53,70</t>
  </si>
  <si>
    <t>Maleeva Lyubov</t>
  </si>
  <si>
    <t>Open (25.08.1977)/41</t>
  </si>
  <si>
    <t>66,70</t>
  </si>
  <si>
    <t>Masters 40-44 (25.08.1977)/41</t>
  </si>
  <si>
    <t>Body Weight Category  75</t>
  </si>
  <si>
    <t>Aleshkevich Olga</t>
  </si>
  <si>
    <t>Open (05.12.1987)/31</t>
  </si>
  <si>
    <t>71,90</t>
  </si>
  <si>
    <t>95,0</t>
  </si>
  <si>
    <t>Sukhanova Regina</t>
  </si>
  <si>
    <t>Open (30.07.1980)/38</t>
  </si>
  <si>
    <t>76,20</t>
  </si>
  <si>
    <t>OSN Bars</t>
  </si>
  <si>
    <t>Bagdanovich Vera</t>
  </si>
  <si>
    <t>Open (26.02.1989)/29</t>
  </si>
  <si>
    <t>85,40</t>
  </si>
  <si>
    <t>Belarus/</t>
  </si>
  <si>
    <t>148,0</t>
  </si>
  <si>
    <t>Peledutse Luchian</t>
  </si>
  <si>
    <t>Teen 13-15 (16.08.2004)/14</t>
  </si>
  <si>
    <t>57,00</t>
  </si>
  <si>
    <t>Rusu Daniel</t>
  </si>
  <si>
    <t>Teen 13-15 (03.09.2003)/15</t>
  </si>
  <si>
    <t>69,40</t>
  </si>
  <si>
    <t>Ayrapetyan Dmirtiy</t>
  </si>
  <si>
    <t>Open (25.10.1987)/31</t>
  </si>
  <si>
    <t>75,00</t>
  </si>
  <si>
    <t>Moskva</t>
  </si>
  <si>
    <t>Sannikov Vladislav</t>
  </si>
  <si>
    <t>Open (29.10.1938)/80</t>
  </si>
  <si>
    <t>77,10</t>
  </si>
  <si>
    <t>82,5</t>
  </si>
  <si>
    <t>Khudoleev Evgeniy</t>
  </si>
  <si>
    <t>Masters 70-74 (10.09.1946)/72</t>
  </si>
  <si>
    <t>82,20</t>
  </si>
  <si>
    <t>Valday/Novgorodskaya oblast</t>
  </si>
  <si>
    <t>105,0</t>
  </si>
  <si>
    <t>Masters 75-79 (29.10.1938)/80</t>
  </si>
  <si>
    <t>Blintsov Aleksey</t>
  </si>
  <si>
    <t>Open (13.03.1980)/38</t>
  </si>
  <si>
    <t>88,70</t>
  </si>
  <si>
    <t>Ramenskoye/Moskovskaya oblast</t>
  </si>
  <si>
    <t>195,0</t>
  </si>
  <si>
    <t>Goryachev Pavel</t>
  </si>
  <si>
    <t>Open (02.02.1989)/29</t>
  </si>
  <si>
    <t>88,50</t>
  </si>
  <si>
    <t>157,5</t>
  </si>
  <si>
    <t>Kadyrov Azimdjan</t>
  </si>
  <si>
    <t>Masters 40-44 (12.04.1976)/42</t>
  </si>
  <si>
    <t>89,00</t>
  </si>
  <si>
    <t>Akhmedov Asaf</t>
  </si>
  <si>
    <t>Masters 50-54 (23.07.1965)/53</t>
  </si>
  <si>
    <t>Body Weight Category  100</t>
  </si>
  <si>
    <t>Lazarev Denis</t>
  </si>
  <si>
    <t>Teen 13-15 (02.09.2003)/15</t>
  </si>
  <si>
    <t>96,70</t>
  </si>
  <si>
    <t>Uvetov Vladimir</t>
  </si>
  <si>
    <t>Open (12.04.1979)/39</t>
  </si>
  <si>
    <t>98,70</t>
  </si>
  <si>
    <t>Belov Anton</t>
  </si>
  <si>
    <t>Open (24.03.1985)/33</t>
  </si>
  <si>
    <t>97,60</t>
  </si>
  <si>
    <t>Snezhkov Ilya</t>
  </si>
  <si>
    <t>Open (06.12.1989)/29</t>
  </si>
  <si>
    <t>98,00</t>
  </si>
  <si>
    <t>Zelenograd/Moskovskaya oblast</t>
  </si>
  <si>
    <t>Suluev Khamid</t>
  </si>
  <si>
    <t>Open (20.08.1974)/44</t>
  </si>
  <si>
    <t>94,90</t>
  </si>
  <si>
    <t>Eyvazov Dmitriy</t>
  </si>
  <si>
    <t>Sub Masters 33-39 (19.05.1983)/35</t>
  </si>
  <si>
    <t>91,40</t>
  </si>
  <si>
    <t>Masters 40-44 (20.08.1974)/44</t>
  </si>
  <si>
    <t>Yablokov Denis</t>
  </si>
  <si>
    <t>Masters 40-44 (12.10.1976)/42</t>
  </si>
  <si>
    <t>96,40</t>
  </si>
  <si>
    <t>Nefedov Team</t>
  </si>
  <si>
    <t>145,0</t>
  </si>
  <si>
    <t>Petrov Aleksandr</t>
  </si>
  <si>
    <t>Masters 55-59 (17.07.1960)/58</t>
  </si>
  <si>
    <t>Fadeev Andrey</t>
  </si>
  <si>
    <t>Teen 18-19 (28.03.1999)/19</t>
  </si>
  <si>
    <t>104,00</t>
  </si>
  <si>
    <t>Murom/Vladimirskaya oblast</t>
  </si>
  <si>
    <t>152,5</t>
  </si>
  <si>
    <t>162,5</t>
  </si>
  <si>
    <t>Kolesnikov Vladislav</t>
  </si>
  <si>
    <t>Open (19.06.1984)/34</t>
  </si>
  <si>
    <t>109,30</t>
  </si>
  <si>
    <t>Zabrovskiy Pavel</t>
  </si>
  <si>
    <t>Open (30.08.1979)/39</t>
  </si>
  <si>
    <t>106,40</t>
  </si>
  <si>
    <t>Volgograd/Volgogradskaya oblast</t>
  </si>
  <si>
    <t>187,5</t>
  </si>
  <si>
    <t>197,5</t>
  </si>
  <si>
    <t>Venin Sergey</t>
  </si>
  <si>
    <t>Open (23.05.1985)/33</t>
  </si>
  <si>
    <t>105,60</t>
  </si>
  <si>
    <t>Tokarev Aleksandr</t>
  </si>
  <si>
    <t>Masters 45-49 (28.12.1972)/46</t>
  </si>
  <si>
    <t>102,40</t>
  </si>
  <si>
    <t>207,5</t>
  </si>
  <si>
    <t>Body Weight Category  125</t>
  </si>
  <si>
    <t>Ovechkin Maksim</t>
  </si>
  <si>
    <t>Masters 40-44 (02.05.1976)/42</t>
  </si>
  <si>
    <t>110,20</t>
  </si>
  <si>
    <t>91,8400</t>
  </si>
  <si>
    <t>89,1750</t>
  </si>
  <si>
    <t>75</t>
  </si>
  <si>
    <t>70,6610</t>
  </si>
  <si>
    <t>51,9840</t>
  </si>
  <si>
    <t>51,6800</t>
  </si>
  <si>
    <t>61,5473</t>
  </si>
  <si>
    <t>56</t>
  </si>
  <si>
    <t>47,3065</t>
  </si>
  <si>
    <t>Teenagers</t>
  </si>
  <si>
    <t>Teen 18-19</t>
  </si>
  <si>
    <t>88,6437</t>
  </si>
  <si>
    <t>Teen 13-15</t>
  </si>
  <si>
    <t>53,1225</t>
  </si>
  <si>
    <t>100</t>
  </si>
  <si>
    <t>45,0160</t>
  </si>
  <si>
    <t>42,9000</t>
  </si>
  <si>
    <t>125,3925</t>
  </si>
  <si>
    <t>118,1000</t>
  </si>
  <si>
    <t>117,6420</t>
  </si>
  <si>
    <t>117,4110</t>
  </si>
  <si>
    <t>113,6200</t>
  </si>
  <si>
    <t>110,1465</t>
  </si>
  <si>
    <t>106,3200</t>
  </si>
  <si>
    <t>104,2195</t>
  </si>
  <si>
    <t>88,7100</t>
  </si>
  <si>
    <t>53,6662</t>
  </si>
  <si>
    <t>Masters 55-59</t>
  </si>
  <si>
    <t>167,6819</t>
  </si>
  <si>
    <t>Masters 70-74</t>
  </si>
  <si>
    <t>135,3438</t>
  </si>
  <si>
    <t>Masters 45-49</t>
  </si>
  <si>
    <t>119,3203</t>
  </si>
  <si>
    <t>117,1422</t>
  </si>
  <si>
    <t>Masters 75-79</t>
  </si>
  <si>
    <t>112,0551</t>
  </si>
  <si>
    <t>125</t>
  </si>
  <si>
    <t>105,5000</t>
  </si>
  <si>
    <t>102,5691</t>
  </si>
  <si>
    <t>100,7507</t>
  </si>
  <si>
    <t>76,7708</t>
  </si>
  <si>
    <t>Avdonin Georgiy</t>
  </si>
  <si>
    <t>Masters 45-49 (10.09.1969)/49</t>
  </si>
  <si>
    <t>88,90</t>
  </si>
  <si>
    <t>Magadan/Magadanskaya oblast</t>
  </si>
  <si>
    <t>182,5</t>
  </si>
  <si>
    <t>114,6849</t>
  </si>
  <si>
    <t>52,5</t>
  </si>
  <si>
    <t>Tsvetkov Alexandr</t>
  </si>
  <si>
    <t>Masters 60-64 (10.04.1957)/61</t>
  </si>
  <si>
    <t>99,10</t>
  </si>
  <si>
    <t>Dubna/Moskovskaya oblast</t>
  </si>
  <si>
    <t>Body Weight Category  140</t>
  </si>
  <si>
    <t>74,3800</t>
  </si>
  <si>
    <t>49,6718</t>
  </si>
  <si>
    <t>Kuznetsova Kseniya</t>
  </si>
  <si>
    <t>Open (01.11.1989)/29</t>
  </si>
  <si>
    <t>47,50</t>
  </si>
  <si>
    <t>85,0</t>
  </si>
  <si>
    <t>92,5</t>
  </si>
  <si>
    <t>67,5</t>
  </si>
  <si>
    <t>87,5</t>
  </si>
  <si>
    <t>Saburova Svetlana</t>
  </si>
  <si>
    <t>Open (20.02.1972)/46</t>
  </si>
  <si>
    <t>66,20</t>
  </si>
  <si>
    <t>Khabarovsk/Khabarovskiy kray</t>
  </si>
  <si>
    <t>117,5</t>
  </si>
  <si>
    <t>165,0</t>
  </si>
  <si>
    <t>Malisheva Anna</t>
  </si>
  <si>
    <t>Masters 40-44 (06.07.1978)/40</t>
  </si>
  <si>
    <t>67,30</t>
  </si>
  <si>
    <t>40,0</t>
  </si>
  <si>
    <t>30,0</t>
  </si>
  <si>
    <t>Tsigankov Aleksey</t>
  </si>
  <si>
    <t>Open (09.09.1989)/29</t>
  </si>
  <si>
    <t>60,00</t>
  </si>
  <si>
    <t>Ganichkin Andrey</t>
  </si>
  <si>
    <t>Open (09.08.1984)/34</t>
  </si>
  <si>
    <t>Dolgoprudnyy/Moskovskaya oblast</t>
  </si>
  <si>
    <t>265,0</t>
  </si>
  <si>
    <t>Sadaev Artyom</t>
  </si>
  <si>
    <t>Open (06.03.1987)/31</t>
  </si>
  <si>
    <t>80,60</t>
  </si>
  <si>
    <t>147,5</t>
  </si>
  <si>
    <t>Sgibnev Anton</t>
  </si>
  <si>
    <t>Open (26.04.1986)/32</t>
  </si>
  <si>
    <t>88,10</t>
  </si>
  <si>
    <t>Kineshma/Ivanovskaya oblast</t>
  </si>
  <si>
    <t>167,5</t>
  </si>
  <si>
    <t>255,0</t>
  </si>
  <si>
    <t>267,5</t>
  </si>
  <si>
    <t>Gerchoglo Pavel</t>
  </si>
  <si>
    <t>Open (10.08.1989)/29</t>
  </si>
  <si>
    <t>88,40</t>
  </si>
  <si>
    <t>Osipov David</t>
  </si>
  <si>
    <t>Open (03.02.1994)/24</t>
  </si>
  <si>
    <t>87,90</t>
  </si>
  <si>
    <t>Hickey Austin</t>
  </si>
  <si>
    <t>Sub Masters 33-39 (13.05.1980)/38</t>
  </si>
  <si>
    <t>99,60</t>
  </si>
  <si>
    <t>Ireland</t>
  </si>
  <si>
    <t>250,0</t>
  </si>
  <si>
    <t>273,0</t>
  </si>
  <si>
    <t>Bezpalenko Artyom</t>
  </si>
  <si>
    <t>Open (21.03.1990)/28</t>
  </si>
  <si>
    <t>107,80</t>
  </si>
  <si>
    <t>257,5</t>
  </si>
  <si>
    <t>268,3922</t>
  </si>
  <si>
    <t>330,0</t>
  </si>
  <si>
    <t>261,2940</t>
  </si>
  <si>
    <t>124,9120</t>
  </si>
  <si>
    <t>520,0</t>
  </si>
  <si>
    <t>422,6560</t>
  </si>
  <si>
    <t>695,0</t>
  </si>
  <si>
    <t>412,1350</t>
  </si>
  <si>
    <t>615,0</t>
  </si>
  <si>
    <t>381,8535</t>
  </si>
  <si>
    <t>667,5</t>
  </si>
  <si>
    <t>359,9828</t>
  </si>
  <si>
    <t>602,5</t>
  </si>
  <si>
    <t>356,5595</t>
  </si>
  <si>
    <t>542,5</t>
  </si>
  <si>
    <t>341,5037</t>
  </si>
  <si>
    <t>430,0</t>
  </si>
  <si>
    <t>255,3770</t>
  </si>
  <si>
    <t>Kholodov Oleg</t>
  </si>
  <si>
    <t>Masters 55-59 (27.11.1961)/57</t>
  </si>
  <si>
    <t>106,70</t>
  </si>
  <si>
    <t>595,0</t>
  </si>
  <si>
    <t>460,3099</t>
  </si>
  <si>
    <t>Belmesova Aleksandra</t>
  </si>
  <si>
    <t>Teen 16-17 (04.01.2001)/17</t>
  </si>
  <si>
    <t>50,70</t>
  </si>
  <si>
    <t>Solnechnogorsk/Moskovskaya oblast</t>
  </si>
  <si>
    <t>Dovzhenko Oksana</t>
  </si>
  <si>
    <t>Open (17.03.1996)/22</t>
  </si>
  <si>
    <t>55,70</t>
  </si>
  <si>
    <t>Chekhov/Moskovskaya oblast</t>
  </si>
  <si>
    <t>72,5</t>
  </si>
  <si>
    <t>Ilinskaya Ekaterina</t>
  </si>
  <si>
    <t>Open (04.12.1988)/30</t>
  </si>
  <si>
    <t>55,10</t>
  </si>
  <si>
    <t>Garaeva Kseniya</t>
  </si>
  <si>
    <t>Open (20.09.1991)/27</t>
  </si>
  <si>
    <t>55,30</t>
  </si>
  <si>
    <t>Sankt-Peterburg</t>
  </si>
  <si>
    <t>Salomatova Anastasiya</t>
  </si>
  <si>
    <t>Open (09.10.1989)/29</t>
  </si>
  <si>
    <t>59,30</t>
  </si>
  <si>
    <t>Razumova Tatyana</t>
  </si>
  <si>
    <t>Open (27.01.1994)/24</t>
  </si>
  <si>
    <t>58,50</t>
  </si>
  <si>
    <t>Gnusareva Mariya</t>
  </si>
  <si>
    <t>Open (25.06.1982)/36</t>
  </si>
  <si>
    <t>60,70</t>
  </si>
  <si>
    <t>Omskaya oblast</t>
  </si>
  <si>
    <t>Omsk/Omskaya oblast</t>
  </si>
  <si>
    <t>97,5</t>
  </si>
  <si>
    <t>Suntsova Marina</t>
  </si>
  <si>
    <t>Open (23.12.1985)/33</t>
  </si>
  <si>
    <t>73,30</t>
  </si>
  <si>
    <t>Zheleznodorozhnyy/Moskovskaya oblast</t>
  </si>
  <si>
    <t>Body Weight Category  90+</t>
  </si>
  <si>
    <t>Basargina Olga</t>
  </si>
  <si>
    <t>Open (18.12.1981)/37</t>
  </si>
  <si>
    <t>92,60</t>
  </si>
  <si>
    <t>Gorelkin Ivan</t>
  </si>
  <si>
    <t>Open (08.02.1994)/24</t>
  </si>
  <si>
    <t>102,5</t>
  </si>
  <si>
    <t>107,5</t>
  </si>
  <si>
    <t>Butko Sergey</t>
  </si>
  <si>
    <t>Open (18.08.1988)/30</t>
  </si>
  <si>
    <t>51,00</t>
  </si>
  <si>
    <t>Elektrostal/Moskovskaya oblast</t>
  </si>
  <si>
    <t>Kolesnikov Daniil</t>
  </si>
  <si>
    <t>Teen 16-17 (27.04.2002)/16</t>
  </si>
  <si>
    <t>Kuznetsov Aleksandr</t>
  </si>
  <si>
    <t>Open (16.12.1993)/25</t>
  </si>
  <si>
    <t>59,00</t>
  </si>
  <si>
    <t>127,5</t>
  </si>
  <si>
    <t>Luchenkov Ivan</t>
  </si>
  <si>
    <t>Open (30.03.1991)/27</t>
  </si>
  <si>
    <t>Smolensk/Smolenskaya oblast</t>
  </si>
  <si>
    <t>Nekrasov Andrey</t>
  </si>
  <si>
    <t>Open (11.07.1985)/33</t>
  </si>
  <si>
    <t>65,70</t>
  </si>
  <si>
    <t>Salosalov Sergey</t>
  </si>
  <si>
    <t>Teen 13-15 (11.09.2004)/14</t>
  </si>
  <si>
    <t>Gubkin/Belgorodskaya oblast</t>
  </si>
  <si>
    <t>Gusev Egor</t>
  </si>
  <si>
    <t>Teen 13-15 (17.06.2005)/13</t>
  </si>
  <si>
    <t>72,20</t>
  </si>
  <si>
    <t>Filatov Ivan</t>
  </si>
  <si>
    <t>Teen 16-17 (27.09.2002)/16</t>
  </si>
  <si>
    <t>Nikulin Oleg</t>
  </si>
  <si>
    <t>Open (01.09.1992)/26</t>
  </si>
  <si>
    <t>73,10</t>
  </si>
  <si>
    <t>Ukraine</t>
  </si>
  <si>
    <t>Strelnikov Valeriy</t>
  </si>
  <si>
    <t>Open (25.03.1981)/37</t>
  </si>
  <si>
    <t>72,40</t>
  </si>
  <si>
    <t>Kalinin Sergey</t>
  </si>
  <si>
    <t>Masters 40-44 (19.11.1975)/43</t>
  </si>
  <si>
    <t>74,60</t>
  </si>
  <si>
    <t>OSN Saturn</t>
  </si>
  <si>
    <t>132,5</t>
  </si>
  <si>
    <t>Rogachev Igor</t>
  </si>
  <si>
    <t>Open (07.08.1994)/24</t>
  </si>
  <si>
    <t>82,00</t>
  </si>
  <si>
    <t>Gaponov Vladislav</t>
  </si>
  <si>
    <t>Teen 16-17 (08.09.2001)/17</t>
  </si>
  <si>
    <t>85,10</t>
  </si>
  <si>
    <t>Strizhakov Iliya</t>
  </si>
  <si>
    <t>Open (28.04.1994)/24</t>
  </si>
  <si>
    <t>Kazakhstan/</t>
  </si>
  <si>
    <t>Timokhin Georgiy</t>
  </si>
  <si>
    <t>Open (29.01.1993)/25</t>
  </si>
  <si>
    <t>Kutlakhmetov Artur</t>
  </si>
  <si>
    <t>Masters 45-49 (01.07.1970)/48</t>
  </si>
  <si>
    <t>89,60</t>
  </si>
  <si>
    <t>Chelyabinsk/Chelyabinskaya oblast</t>
  </si>
  <si>
    <t>Ilin Sergey</t>
  </si>
  <si>
    <t>Masters 60-64 (01.06.1958)/60</t>
  </si>
  <si>
    <t>89,80</t>
  </si>
  <si>
    <t>Khramchenko Artyom</t>
  </si>
  <si>
    <t>Juniors 20-23 (22.04.1998)/20</t>
  </si>
  <si>
    <t>97,40</t>
  </si>
  <si>
    <t>Kiryanov Alexey</t>
  </si>
  <si>
    <t>Open (07.04.1989)/29</t>
  </si>
  <si>
    <t>99,00</t>
  </si>
  <si>
    <t>Ososkov Pavel</t>
  </si>
  <si>
    <t>Open (21.01.1985)/33</t>
  </si>
  <si>
    <t>99,70</t>
  </si>
  <si>
    <t>Rozmirets Ruslan</t>
  </si>
  <si>
    <t>Open (26.08.1976)/42</t>
  </si>
  <si>
    <t>98,40</t>
  </si>
  <si>
    <t>Lisenko Vyacheslav</t>
  </si>
  <si>
    <t>Open (16.10.1990)/28</t>
  </si>
  <si>
    <t>Pigrov Sergey</t>
  </si>
  <si>
    <t>Open (03.06.1978)/40</t>
  </si>
  <si>
    <t>Masters 40-44 (26.08.1976)/42</t>
  </si>
  <si>
    <t>Masters 40-44 (03.06.1978)/40</t>
  </si>
  <si>
    <t>Yakushev Konstantin</t>
  </si>
  <si>
    <t>Masters 40-44 (03.05.1975)/43</t>
  </si>
  <si>
    <t>95,40</t>
  </si>
  <si>
    <t>Kulemin Andrey</t>
  </si>
  <si>
    <t>Masters 50-54 (28.08.1964)/54</t>
  </si>
  <si>
    <t>Kozmodemyansk/Mariy El</t>
  </si>
  <si>
    <t>Kalinovskiy Dmitriy</t>
  </si>
  <si>
    <t>Masters 50-54 (27.04.1967)/51</t>
  </si>
  <si>
    <t>97,20</t>
  </si>
  <si>
    <t>Mantserov Aleksandr</t>
  </si>
  <si>
    <t>Open (13.06.1983)/35</t>
  </si>
  <si>
    <t>109,00</t>
  </si>
  <si>
    <t>Dorozhenko Dmitriy</t>
  </si>
  <si>
    <t>Masters 45-49 (14.04.1972)/46</t>
  </si>
  <si>
    <t>Demidov Dmitriy</t>
  </si>
  <si>
    <t>Juniors 20-23 (04.10.1998)/20</t>
  </si>
  <si>
    <t>121,00</t>
  </si>
  <si>
    <t>Guro Vitaliy</t>
  </si>
  <si>
    <t>Open (26.02.1985)/33</t>
  </si>
  <si>
    <t>124,50</t>
  </si>
  <si>
    <t>Stepanov Vadim</t>
  </si>
  <si>
    <t>Open (24.08.1986)/32</t>
  </si>
  <si>
    <t>121,40</t>
  </si>
  <si>
    <t>Solnechnogorsk/Respublika Moldova</t>
  </si>
  <si>
    <t>177,5</t>
  </si>
  <si>
    <t>Gladyshev Dmitriy</t>
  </si>
  <si>
    <t>Masters 40-44 (02.08.1974)/44</t>
  </si>
  <si>
    <t>113,80</t>
  </si>
  <si>
    <t>Simferopol/</t>
  </si>
  <si>
    <t>Bichkov Igor</t>
  </si>
  <si>
    <t>Masters 45-49 (18.06.1970)/48</t>
  </si>
  <si>
    <t>114,70</t>
  </si>
  <si>
    <t>Chubarov Vladimir</t>
  </si>
  <si>
    <t>Masters 50-54 (03.04.1964)/54</t>
  </si>
  <si>
    <t>123,40</t>
  </si>
  <si>
    <t>Ostapenko Vasiliy</t>
  </si>
  <si>
    <t>Open (06.04.1981)/37</t>
  </si>
  <si>
    <t>129,70</t>
  </si>
  <si>
    <t>Karpov Aleksey</t>
  </si>
  <si>
    <t>Masters 40-44 (14.03.1976)/42</t>
  </si>
  <si>
    <t>127,00</t>
  </si>
  <si>
    <t>Kopeysk/Chelyabinskaya oblast</t>
  </si>
  <si>
    <t>Shishkov Sergey</t>
  </si>
  <si>
    <t>Masters 60-64 (30.04.1956)/62</t>
  </si>
  <si>
    <t>126,00</t>
  </si>
  <si>
    <t>Vladivostok/Primorskiy kray</t>
  </si>
  <si>
    <t>Body Weight Category  140+</t>
  </si>
  <si>
    <t>Nikiforov Aleksandr</t>
  </si>
  <si>
    <t>Open (18.10.1973)/45</t>
  </si>
  <si>
    <t>144,70</t>
  </si>
  <si>
    <t>Perm/Permskiy kray</t>
  </si>
  <si>
    <t>Masters 45-49 (18.10.1973)/45</t>
  </si>
  <si>
    <t>Teen 16-17</t>
  </si>
  <si>
    <t>56,8560</t>
  </si>
  <si>
    <t>80,9400</t>
  </si>
  <si>
    <t>75,5123</t>
  </si>
  <si>
    <t>62,3363</t>
  </si>
  <si>
    <t>58,6440</t>
  </si>
  <si>
    <t>52,7280</t>
  </si>
  <si>
    <t>50,6440</t>
  </si>
  <si>
    <t>47,6840</t>
  </si>
  <si>
    <t>90+</t>
  </si>
  <si>
    <t>45,1168</t>
  </si>
  <si>
    <t>84,6070</t>
  </si>
  <si>
    <t>83,0625</t>
  </si>
  <si>
    <t>72,7680</t>
  </si>
  <si>
    <t>54,8212</t>
  </si>
  <si>
    <t>51,3825</t>
  </si>
  <si>
    <t>91,1300</t>
  </si>
  <si>
    <t>89,4200</t>
  </si>
  <si>
    <t>107,5400</t>
  </si>
  <si>
    <t>107,5230</t>
  </si>
  <si>
    <t>106,3865</t>
  </si>
  <si>
    <t>105,7350</t>
  </si>
  <si>
    <t>105,6443</t>
  </si>
  <si>
    <t>99,3225</t>
  </si>
  <si>
    <t>95,7030</t>
  </si>
  <si>
    <t>93,2940</t>
  </si>
  <si>
    <t>140+</t>
  </si>
  <si>
    <t>92,1910</t>
  </si>
  <si>
    <t>92,1280</t>
  </si>
  <si>
    <t>92,0865</t>
  </si>
  <si>
    <t>91,5570</t>
  </si>
  <si>
    <t>90,3987</t>
  </si>
  <si>
    <t>82,5020</t>
  </si>
  <si>
    <t>78,0822</t>
  </si>
  <si>
    <t>140</t>
  </si>
  <si>
    <t>69,5736</t>
  </si>
  <si>
    <t>Masters 60-64</t>
  </si>
  <si>
    <t>134,9788</t>
  </si>
  <si>
    <t>126,0055</t>
  </si>
  <si>
    <t>118,2955</t>
  </si>
  <si>
    <t>102,4300</t>
  </si>
  <si>
    <t>100,3474</t>
  </si>
  <si>
    <t>96,6162</t>
  </si>
  <si>
    <t>96,5657</t>
  </si>
  <si>
    <t>92,9153</t>
  </si>
  <si>
    <t>90,8963</t>
  </si>
  <si>
    <t>89,2137</t>
  </si>
  <si>
    <t>88,9555</t>
  </si>
  <si>
    <t>83,6358</t>
  </si>
  <si>
    <t>81,0966</t>
  </si>
  <si>
    <t>Open (20.04.1967)/51</t>
  </si>
  <si>
    <t>Pirsina Yuliya</t>
  </si>
  <si>
    <t>Open (09.05.1985)/33</t>
  </si>
  <si>
    <t>66,50</t>
  </si>
  <si>
    <t>Ablaeva Viktoriya</t>
  </si>
  <si>
    <t>Open (08.05.1983)/35</t>
  </si>
  <si>
    <t>73,80</t>
  </si>
  <si>
    <t>Buterus Roman</t>
  </si>
  <si>
    <t>Open (03.09.1989)/29</t>
  </si>
  <si>
    <t>Aliev Elnur</t>
  </si>
  <si>
    <t>Open (09.03.1982)/36</t>
  </si>
  <si>
    <t>81,80</t>
  </si>
  <si>
    <t>Azerbaidjan</t>
  </si>
  <si>
    <t>Nersisyan Armen</t>
  </si>
  <si>
    <t>Open (02.06.1994)/24</t>
  </si>
  <si>
    <t>Sub Masters 33-39 (09.03.1982)/36</t>
  </si>
  <si>
    <t>Khozeev Vladislav</t>
  </si>
  <si>
    <t>Juniors 20-23 (12.11.1994)/24</t>
  </si>
  <si>
    <t>275,0</t>
  </si>
  <si>
    <t>295,0</t>
  </si>
  <si>
    <t>Karapetyan Ogannes</t>
  </si>
  <si>
    <t>Open (14.11.1985)/33</t>
  </si>
  <si>
    <t>90,00</t>
  </si>
  <si>
    <t>Astrakhan/Astrakhanskaya oblast</t>
  </si>
  <si>
    <t>305,0</t>
  </si>
  <si>
    <t>Sarkisov Ruben</t>
  </si>
  <si>
    <t>Altunin Oleg</t>
  </si>
  <si>
    <t>Open (21.10.1987)/31</t>
  </si>
  <si>
    <t>Open (12.11.1994)/24</t>
  </si>
  <si>
    <t>Khitrov Sergey</t>
  </si>
  <si>
    <t>Open (01.10.1979)/39</t>
  </si>
  <si>
    <t>86,20</t>
  </si>
  <si>
    <t>Kadirov Azimdjan</t>
  </si>
  <si>
    <t>Ermakov Aleksey</t>
  </si>
  <si>
    <t>Open (06.05.1994)/24</t>
  </si>
  <si>
    <t>Ryazan/Ryazanskaya oblast</t>
  </si>
  <si>
    <t>290,0</t>
  </si>
  <si>
    <t>252,5</t>
  </si>
  <si>
    <t>Battakhov Petr</t>
  </si>
  <si>
    <t>Masters 65-69 (21.04.1952)/66</t>
  </si>
  <si>
    <t>95,00</t>
  </si>
  <si>
    <t>Yakutsk/Yakutiya</t>
  </si>
  <si>
    <t>Efremov Nikolay</t>
  </si>
  <si>
    <t>Open (18.12.1991)/27</t>
  </si>
  <si>
    <t>103,50</t>
  </si>
  <si>
    <t>Ivanov Evgeniy</t>
  </si>
  <si>
    <t>Open (13.06.1973)/45</t>
  </si>
  <si>
    <t>139,40</t>
  </si>
  <si>
    <t>285,0</t>
  </si>
  <si>
    <t>Masters 45-49 (13.06.1973)/45</t>
  </si>
  <si>
    <t>164,2725</t>
  </si>
  <si>
    <t>156,5400</t>
  </si>
  <si>
    <t>144,8070</t>
  </si>
  <si>
    <t>143,9377</t>
  </si>
  <si>
    <t>112,6320</t>
  </si>
  <si>
    <t>174,3476</t>
  </si>
  <si>
    <t>165,0040</t>
  </si>
  <si>
    <t>127,8605</t>
  </si>
  <si>
    <t>178,5165</t>
  </si>
  <si>
    <t>177,0300</t>
  </si>
  <si>
    <t>166,9050</t>
  </si>
  <si>
    <t>165,7040</t>
  </si>
  <si>
    <t>163,9500</t>
  </si>
  <si>
    <t>162,7770</t>
  </si>
  <si>
    <t>159,3445</t>
  </si>
  <si>
    <t>156,6150</t>
  </si>
  <si>
    <t>153,7688</t>
  </si>
  <si>
    <t>127,7150</t>
  </si>
  <si>
    <t>127,4895</t>
  </si>
  <si>
    <t>244,9078</t>
  </si>
  <si>
    <t>238,7918</t>
  </si>
  <si>
    <t>Masters 65-69</t>
  </si>
  <si>
    <t>190,1562</t>
  </si>
  <si>
    <t>161,1497</t>
  </si>
  <si>
    <t>139,7319</t>
  </si>
  <si>
    <t>136,2174</t>
  </si>
  <si>
    <t>110,8911</t>
  </si>
  <si>
    <t>101,7450</t>
  </si>
  <si>
    <t>232,5</t>
  </si>
  <si>
    <t>172,4685</t>
  </si>
  <si>
    <t>159,5700</t>
  </si>
  <si>
    <t>121,0822</t>
  </si>
  <si>
    <t>Koroleva Anna</t>
  </si>
  <si>
    <t>Open (01.03.1984)/34</t>
  </si>
  <si>
    <t>54,90</t>
  </si>
  <si>
    <t>Myakisheva Galina</t>
  </si>
  <si>
    <t>Open (05.11.1983)/35</t>
  </si>
  <si>
    <t>58,80</t>
  </si>
  <si>
    <t>Selivanova Yuliya</t>
  </si>
  <si>
    <t>Open (17.09.1985)/33</t>
  </si>
  <si>
    <t>58,90</t>
  </si>
  <si>
    <t>Bas Yuliya</t>
  </si>
  <si>
    <t>Open (04.02.1989)/29</t>
  </si>
  <si>
    <t>Sabirov Bakhramjon</t>
  </si>
  <si>
    <t>Teen 18-19 (15.07.1999)/19</t>
  </si>
  <si>
    <t>Kulkov Andrey</t>
  </si>
  <si>
    <t>Open (30.04.1983)/35</t>
  </si>
  <si>
    <t>Bryansk/Bryanskaya oblast</t>
  </si>
  <si>
    <t>Kapriyenko A.N.</t>
  </si>
  <si>
    <t>Skokin Victor</t>
  </si>
  <si>
    <t>Masters 60-64 (20.06.1957)/61</t>
  </si>
  <si>
    <t>79,20</t>
  </si>
  <si>
    <t>Voskresensk/Moskovskaya oblast</t>
  </si>
  <si>
    <t>Belichenko Mikhail</t>
  </si>
  <si>
    <t>Open (14.08.1982)/36</t>
  </si>
  <si>
    <t>98,80</t>
  </si>
  <si>
    <t>Stelmakh Aleksandr</t>
  </si>
  <si>
    <t>Open (06.11.1981)/37</t>
  </si>
  <si>
    <t>98,30</t>
  </si>
  <si>
    <t>Sub Masters 33-39 (14.08.1982)/36</t>
  </si>
  <si>
    <t>Artunyants Andrey</t>
  </si>
  <si>
    <t>Open (14.01.1988)/30</t>
  </si>
  <si>
    <t>108,50</t>
  </si>
  <si>
    <t>Smirnov Aleksandr</t>
  </si>
  <si>
    <t>Masters 40-44 (21.04.1974)/44</t>
  </si>
  <si>
    <t>Kolmakov Yuriy</t>
  </si>
  <si>
    <t>Open (06.05.1983)/35</t>
  </si>
  <si>
    <t>117,90</t>
  </si>
  <si>
    <t>317,5</t>
  </si>
  <si>
    <t>Malishevskiy Aleksandr</t>
  </si>
  <si>
    <t>Masters 45-49 (24.11.1972)/46</t>
  </si>
  <si>
    <t>Novyy Urengoy/Yamalo-Nenetskiy avt. okr.</t>
  </si>
  <si>
    <t>126,6880</t>
  </si>
  <si>
    <t>111,5625</t>
  </si>
  <si>
    <t>87,3800</t>
  </si>
  <si>
    <t>78,7355</t>
  </si>
  <si>
    <t>65,9100</t>
  </si>
  <si>
    <t>170,6880</t>
  </si>
  <si>
    <t>161,3145</t>
  </si>
  <si>
    <t>140,1175</t>
  </si>
  <si>
    <t>134,6000</t>
  </si>
  <si>
    <t>130,8950</t>
  </si>
  <si>
    <t>129,8048</t>
  </si>
  <si>
    <t>252,0114</t>
  </si>
  <si>
    <t>132,7516</t>
  </si>
  <si>
    <t>110,2169</t>
  </si>
  <si>
    <t>Umerenkova Yuliya</t>
  </si>
  <si>
    <t>Open (09.12.1980)/38</t>
  </si>
  <si>
    <t>71,10</t>
  </si>
  <si>
    <t>Umerenkov I.Yu.</t>
  </si>
  <si>
    <t>71,70</t>
  </si>
  <si>
    <t>138,6945</t>
  </si>
  <si>
    <t>WORLD CUP AWPA DL m-ply
28 October 2018</t>
  </si>
  <si>
    <t>Submasters</t>
  </si>
  <si>
    <t>WORLD CUP AWPA DL raw
28 October 2018</t>
  </si>
  <si>
    <t>WORLD CUP WPA DL m-ply
28 October 2018</t>
  </si>
  <si>
    <t>WORLD CUP WPC single ply deadlift
28 October 2018</t>
  </si>
  <si>
    <t>WORLD CUP WPA DL raw
28 October 2018</t>
  </si>
  <si>
    <t>WORLD CUP AWPA BP raw
28 October 2018</t>
  </si>
  <si>
    <t>WORLD CUP AWPA PL std.eq
28 October 2018</t>
  </si>
  <si>
    <t>WORLD CUP AWPA PL raw
28 October 2018</t>
  </si>
  <si>
    <t>WORLD CUP WPA BP m-ply
28 October 2018</t>
  </si>
  <si>
    <t>WORLD CUP WPA BP std.eq
28 October 2018</t>
  </si>
  <si>
    <t>WORLD CUP WPA BP raw
27 October 2018</t>
  </si>
  <si>
    <t>WORLD CUP WPA PL raw
28 October 2018</t>
  </si>
  <si>
    <t>WORLD CUP WPC soft benchpress
28 October 2018</t>
  </si>
  <si>
    <t>Onishenko Evgeniy</t>
  </si>
  <si>
    <t>Open (02.10.1980)/38</t>
  </si>
  <si>
    <t>95,50</t>
  </si>
  <si>
    <t>Arkhipov Vitaliy</t>
  </si>
  <si>
    <t>Masters 45-49 (17.12.1972)/46</t>
  </si>
  <si>
    <t>Orekhovo-Zuyevo/Moskovskaya oblast</t>
  </si>
  <si>
    <t>Tsvetkov Aleksandr</t>
  </si>
  <si>
    <t>Medvedev Dmitriy</t>
  </si>
  <si>
    <t>Juniors 20-23 (16.03.1996)/22</t>
  </si>
  <si>
    <t>113,60</t>
  </si>
  <si>
    <t>Zalytskiy Roman</t>
  </si>
  <si>
    <t>Open (31.01.1979)/39</t>
  </si>
  <si>
    <t>131,80</t>
  </si>
  <si>
    <t>360,0</t>
  </si>
  <si>
    <t>370,0</t>
  </si>
  <si>
    <t>139,4625</t>
  </si>
  <si>
    <t>193,8744</t>
  </si>
  <si>
    <t>160,2315</t>
  </si>
  <si>
    <t>131,2357</t>
  </si>
  <si>
    <t>127,5407</t>
  </si>
  <si>
    <t>WORLD CUP AWPC soft benchpress
28 October 2018</t>
  </si>
  <si>
    <t>Dobrynin Yuriy</t>
  </si>
  <si>
    <t>Masters 45-49 (13.02.1971)/47</t>
  </si>
  <si>
    <t>Butskikh Anatoliy</t>
  </si>
  <si>
    <t>Masters 40-44 (31.03.1976)/42</t>
  </si>
  <si>
    <t>Kiryanov Aleksey</t>
  </si>
  <si>
    <t>OSN "Bars"</t>
  </si>
  <si>
    <t>Sokolov Evgeniy</t>
  </si>
  <si>
    <t>Open (11.02.1988)/30</t>
  </si>
  <si>
    <t>Balakhna/Nizhegorodskaya oblast</t>
  </si>
  <si>
    <t>Verzilov Sergey</t>
  </si>
  <si>
    <t>Open (15.10.1986)/32</t>
  </si>
  <si>
    <t>OSN "Saturn"</t>
  </si>
  <si>
    <t>Sheslavskiy Stanislav</t>
  </si>
  <si>
    <t>Open (15.04.1981)/37</t>
  </si>
  <si>
    <t>Korchinskiy Vasiliy</t>
  </si>
  <si>
    <t>Open (26.07.1981)/37</t>
  </si>
  <si>
    <t>109,20</t>
  </si>
  <si>
    <t>Petrov Aleksey</t>
  </si>
  <si>
    <t>Masters 40-44 (25.03.1975)/43</t>
  </si>
  <si>
    <t>124,70</t>
  </si>
  <si>
    <t>156,1665</t>
  </si>
  <si>
    <t>146,3375</t>
  </si>
  <si>
    <t>140,9125</t>
  </si>
  <si>
    <t>140,5440</t>
  </si>
  <si>
    <t>134,4465</t>
  </si>
  <si>
    <t>139,9336</t>
  </si>
  <si>
    <t>126,6004</t>
  </si>
  <si>
    <t>WORLD CUP Folk BP WPC 1 bw
28 October 2018</t>
  </si>
  <si>
    <t>Bith date
Age Categoty</t>
  </si>
  <si>
    <t>Вес</t>
  </si>
  <si>
    <t>Кол-во</t>
  </si>
  <si>
    <t>Karnaushkina Irina</t>
  </si>
  <si>
    <t>Masters 45-49 (30.06.1972)/46</t>
  </si>
  <si>
    <t>49,40</t>
  </si>
  <si>
    <t>23,0</t>
  </si>
  <si>
    <t>Filonenko Ivan</t>
  </si>
  <si>
    <t>Kyrgystan</t>
  </si>
  <si>
    <t>Kyrgystan/</t>
  </si>
  <si>
    <t>17,0</t>
  </si>
  <si>
    <t>13,0</t>
  </si>
  <si>
    <t>OSN "BARS"</t>
  </si>
  <si>
    <t>52,0</t>
  </si>
  <si>
    <t>22,0</t>
  </si>
  <si>
    <t>Egorov Alexandr</t>
  </si>
  <si>
    <t>Open (21.03.1983)/35</t>
  </si>
  <si>
    <t>Lukhovitsy/Moskovskaya oblast</t>
  </si>
  <si>
    <t>67,0</t>
  </si>
  <si>
    <t>Avdonin Maksim</t>
  </si>
  <si>
    <t>Open (07.04.1994)/24</t>
  </si>
  <si>
    <t>86,80</t>
  </si>
  <si>
    <t>38,0</t>
  </si>
  <si>
    <t>Open (12.04.1976)/42</t>
  </si>
  <si>
    <t>26,0</t>
  </si>
  <si>
    <t>Pallasovka/Volgogradskaya oblast</t>
  </si>
  <si>
    <t>21,0</t>
  </si>
  <si>
    <t>43,0</t>
  </si>
  <si>
    <t>Roznikevich Pavel</t>
  </si>
  <si>
    <t>Open (25.05.1989)/29</t>
  </si>
  <si>
    <t>103,20</t>
  </si>
  <si>
    <t>Kaliningrad/Kaliningradskaya oblast</t>
  </si>
  <si>
    <t>28,0</t>
  </si>
  <si>
    <t>27,0</t>
  </si>
  <si>
    <t>Zaykin Andrey</t>
  </si>
  <si>
    <t>Open (21.01.1984)/34</t>
  </si>
  <si>
    <t>107,40</t>
  </si>
  <si>
    <t>19,0</t>
  </si>
  <si>
    <t>Khilevich Vitaliy</t>
  </si>
  <si>
    <t>Open (17.07.1985)/33</t>
  </si>
  <si>
    <t>110,50</t>
  </si>
  <si>
    <t>112,5</t>
  </si>
  <si>
    <t>34,0</t>
  </si>
  <si>
    <t>Dannikov Yuriy</t>
  </si>
  <si>
    <t>Open (04.12.1974)/44</t>
  </si>
  <si>
    <t>112,30</t>
  </si>
  <si>
    <t>Shebekino/Belgorodskaya oblast</t>
  </si>
  <si>
    <t>29,0</t>
  </si>
  <si>
    <t>Masters 40-44 (04.12.1974)/44</t>
  </si>
  <si>
    <t>1782,5</t>
  </si>
  <si>
    <t>1474,8406</t>
  </si>
  <si>
    <t>942,5</t>
  </si>
  <si>
    <t>810,8799</t>
  </si>
  <si>
    <t>1150,0</t>
  </si>
  <si>
    <t>1416,2374</t>
  </si>
  <si>
    <t>1147,5</t>
  </si>
  <si>
    <t>1052,4072</t>
  </si>
  <si>
    <t>4522,5</t>
  </si>
  <si>
    <t>3393,4579</t>
  </si>
  <si>
    <t>4085,0</t>
  </si>
  <si>
    <t>2431,3920</t>
  </si>
  <si>
    <t>3825,0</t>
  </si>
  <si>
    <t>2148,8850</t>
  </si>
  <si>
    <t>3325,0</t>
  </si>
  <si>
    <t>2076,9613</t>
  </si>
  <si>
    <t>3262,5</t>
  </si>
  <si>
    <t>1825,0426</t>
  </si>
  <si>
    <t>2940,0</t>
  </si>
  <si>
    <t>1688,1479</t>
  </si>
  <si>
    <t>2970,0</t>
  </si>
  <si>
    <t>1673,5950</t>
  </si>
  <si>
    <t>2340,0</t>
  </si>
  <si>
    <t>1440,7380</t>
  </si>
  <si>
    <t>2042,5</t>
  </si>
  <si>
    <t>1156,9741</t>
  </si>
  <si>
    <t>2535,9419</t>
  </si>
  <si>
    <t>1881,6189</t>
  </si>
  <si>
    <t>1469,5528</t>
  </si>
  <si>
    <t>1837,5</t>
  </si>
  <si>
    <t>1372,3685</t>
  </si>
  <si>
    <t>1144,0</t>
  </si>
  <si>
    <t>1124,8380</t>
  </si>
  <si>
    <t>WORLD CUP Folk benchpress single body weight
28 October 2018</t>
  </si>
  <si>
    <t>Dovjenko Oksana</t>
  </si>
  <si>
    <t>Juniors 20-23 (17.03.1996)/22</t>
  </si>
  <si>
    <t>18,0</t>
  </si>
  <si>
    <t>Open (18.08.1985)/33</t>
  </si>
  <si>
    <t>12,0</t>
  </si>
  <si>
    <t>Ivanov Yulian</t>
  </si>
  <si>
    <t>Juniors 20-23 (23.09.1997)/21</t>
  </si>
  <si>
    <t>64,60</t>
  </si>
  <si>
    <t>39,0</t>
  </si>
  <si>
    <t>Usachev Victor</t>
  </si>
  <si>
    <t>Masters 60-64 (07.11.1956)/62</t>
  </si>
  <si>
    <t>74,20</t>
  </si>
  <si>
    <t>16,0</t>
  </si>
  <si>
    <t>Yaroshetskiy Vladimir</t>
  </si>
  <si>
    <t>Open (06.06.1982)/36</t>
  </si>
  <si>
    <t>92,50</t>
  </si>
  <si>
    <t>10,0</t>
  </si>
  <si>
    <t>Filin Mikhail</t>
  </si>
  <si>
    <t>Open (17.11.1961)/57</t>
  </si>
  <si>
    <t>142,30</t>
  </si>
  <si>
    <t>Masters 55-59 (17.11.1961)/57</t>
  </si>
  <si>
    <t>1035,0</t>
  </si>
  <si>
    <t>1085,0940</t>
  </si>
  <si>
    <t>2827,5</t>
  </si>
  <si>
    <t>1999,3252</t>
  </si>
  <si>
    <t>3145,0</t>
  </si>
  <si>
    <t>1896,2777</t>
  </si>
  <si>
    <t>2025,0</t>
  </si>
  <si>
    <t>1421,3475</t>
  </si>
  <si>
    <t>1710,0</t>
  </si>
  <si>
    <t>905,0260</t>
  </si>
  <si>
    <t>630,0</t>
  </si>
  <si>
    <t>622,1250</t>
  </si>
  <si>
    <t>2550,0</t>
  </si>
  <si>
    <t>1797,9413</t>
  </si>
  <si>
    <t>1200,0</t>
  </si>
  <si>
    <t>1160,0904</t>
  </si>
  <si>
    <t>1127,6624</t>
  </si>
  <si>
    <t>1275,0</t>
  </si>
  <si>
    <t>706,6527</t>
  </si>
  <si>
    <t>WORLD CUP Folk BP WPC 1/2 bw
28 October 2018</t>
  </si>
  <si>
    <t>27,5</t>
  </si>
  <si>
    <t>1045,0</t>
  </si>
  <si>
    <t>1139,4638</t>
  </si>
  <si>
    <t>Submasters (09.12.1980)/38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</si>
</sst>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0.0000"/>
    <numFmt numFmtId="167" formatCode="000000"/>
  </numFmts>
  <fonts count="47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left"/>
    </xf>
    <xf numFmtId="49" fontId="0" fillId="0" borderId="14" xfId="0" applyNumberForma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left"/>
    </xf>
    <xf numFmtId="49" fontId="0" fillId="0" borderId="15" xfId="0" applyNumberForma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8" fillId="0" borderId="16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indent="1"/>
    </xf>
    <xf numFmtId="49" fontId="11" fillId="0" borderId="0" xfId="0" applyNumberFormat="1" applyFont="1" applyFill="1" applyBorder="1" applyAlignment="1">
      <alignment horizontal="left" indent="1"/>
    </xf>
    <xf numFmtId="49" fontId="12" fillId="0" borderId="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3" xfId="0" applyNumberFormat="1" applyBorder="1" applyAlignment="1">
      <alignment/>
    </xf>
    <xf numFmtId="49" fontId="8" fillId="0" borderId="13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49" fontId="8" fillId="0" borderId="14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8" fillId="0" borderId="16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49" fontId="8" fillId="0" borderId="15" xfId="0" applyNumberFormat="1" applyFont="1" applyBorder="1" applyAlignment="1">
      <alignment/>
    </xf>
    <xf numFmtId="49" fontId="5" fillId="0" borderId="0" xfId="0" applyNumberFormat="1" applyFont="1" applyAlignment="1">
      <alignment horizontal="left"/>
    </xf>
    <xf numFmtId="49" fontId="10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 horizontal="left" indent="1"/>
    </xf>
    <xf numFmtId="49" fontId="12" fillId="0" borderId="0" xfId="0" applyNumberFormat="1" applyFont="1" applyAlignment="1">
      <alignment horizontal="left" indent="1"/>
    </xf>
    <xf numFmtId="49" fontId="12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7" fillId="0" borderId="0" xfId="0" applyNumberFormat="1" applyFont="1" applyAlignment="1">
      <alignment horizont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7.00390625" style="34" bestFit="1" customWidth="1"/>
    <col min="2" max="2" width="30.875" style="34" bestFit="1" customWidth="1"/>
    <col min="3" max="3" width="7.75390625" style="34" bestFit="1" customWidth="1"/>
    <col min="4" max="4" width="6.875" style="34" bestFit="1" customWidth="1"/>
    <col min="5" max="5" width="17.25390625" style="34" bestFit="1" customWidth="1"/>
    <col min="6" max="6" width="30.375" style="34" bestFit="1" customWidth="1"/>
    <col min="7" max="9" width="5.625" style="34" bestFit="1" customWidth="1"/>
    <col min="10" max="10" width="4.875" style="34" bestFit="1" customWidth="1"/>
    <col min="11" max="13" width="5.625" style="34" bestFit="1" customWidth="1"/>
    <col min="14" max="14" width="4.875" style="34" bestFit="1" customWidth="1"/>
    <col min="15" max="17" width="5.625" style="34" bestFit="1" customWidth="1"/>
    <col min="18" max="18" width="4.875" style="34" bestFit="1" customWidth="1"/>
    <col min="19" max="19" width="6.75390625" style="34" bestFit="1" customWidth="1"/>
    <col min="20" max="20" width="8.625" style="34" bestFit="1" customWidth="1"/>
    <col min="21" max="21" width="7.375" style="34" bestFit="1" customWidth="1"/>
  </cols>
  <sheetData>
    <row r="1" spans="1:21" s="1" customFormat="1" ht="36" customHeight="1">
      <c r="A1" s="62" t="s">
        <v>770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4"/>
    </row>
    <row r="2" spans="1:21" s="1" customFormat="1" ht="36" customHeight="1" thickBo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7"/>
    </row>
    <row r="3" spans="1:21" s="7" customFormat="1" ht="36" customHeight="1">
      <c r="A3" s="58" t="s">
        <v>0</v>
      </c>
      <c r="B3" s="69" t="s">
        <v>12</v>
      </c>
      <c r="C3" s="69" t="s">
        <v>11</v>
      </c>
      <c r="D3" s="54" t="s">
        <v>1</v>
      </c>
      <c r="E3" s="54" t="s">
        <v>2</v>
      </c>
      <c r="F3" s="56" t="s">
        <v>3</v>
      </c>
      <c r="G3" s="58" t="s">
        <v>4</v>
      </c>
      <c r="H3" s="54"/>
      <c r="I3" s="54"/>
      <c r="J3" s="59"/>
      <c r="K3" s="58" t="s">
        <v>5</v>
      </c>
      <c r="L3" s="54"/>
      <c r="M3" s="54"/>
      <c r="N3" s="59"/>
      <c r="O3" s="58" t="s">
        <v>6</v>
      </c>
      <c r="P3" s="54"/>
      <c r="Q3" s="54"/>
      <c r="R3" s="59"/>
      <c r="S3" s="52" t="s">
        <v>7</v>
      </c>
      <c r="T3" s="54" t="s">
        <v>9</v>
      </c>
      <c r="U3" s="59" t="s">
        <v>8</v>
      </c>
    </row>
    <row r="4" spans="1:21" s="7" customFormat="1" ht="36" customHeight="1" thickBot="1">
      <c r="A4" s="68"/>
      <c r="B4" s="55"/>
      <c r="C4" s="55"/>
      <c r="D4" s="55"/>
      <c r="E4" s="55"/>
      <c r="F4" s="57"/>
      <c r="G4" s="3">
        <v>1</v>
      </c>
      <c r="H4" s="2">
        <v>2</v>
      </c>
      <c r="I4" s="2">
        <v>3</v>
      </c>
      <c r="J4" s="4" t="s">
        <v>10</v>
      </c>
      <c r="K4" s="3">
        <v>1</v>
      </c>
      <c r="L4" s="2">
        <v>2</v>
      </c>
      <c r="M4" s="2">
        <v>3</v>
      </c>
      <c r="N4" s="4" t="s">
        <v>10</v>
      </c>
      <c r="O4" s="3">
        <v>1</v>
      </c>
      <c r="P4" s="2">
        <v>2</v>
      </c>
      <c r="Q4" s="2">
        <v>3</v>
      </c>
      <c r="R4" s="4" t="s">
        <v>10</v>
      </c>
      <c r="S4" s="53"/>
      <c r="T4" s="55"/>
      <c r="U4" s="60"/>
    </row>
    <row r="5" spans="1:20" ht="15">
      <c r="A5" s="61" t="s">
        <v>27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1" ht="12.75">
      <c r="A6" s="35" t="s">
        <v>331</v>
      </c>
      <c r="B6" s="35" t="s">
        <v>332</v>
      </c>
      <c r="C6" s="35" t="s">
        <v>333</v>
      </c>
      <c r="D6" s="35" t="str">
        <f>"1,0423"</f>
        <v>1,0423</v>
      </c>
      <c r="E6" s="35" t="s">
        <v>111</v>
      </c>
      <c r="F6" s="35" t="s">
        <v>197</v>
      </c>
      <c r="G6" s="36" t="s">
        <v>334</v>
      </c>
      <c r="H6" s="35" t="s">
        <v>334</v>
      </c>
      <c r="I6" s="35" t="s">
        <v>335</v>
      </c>
      <c r="J6" s="36"/>
      <c r="K6" s="35" t="s">
        <v>58</v>
      </c>
      <c r="L6" s="35" t="s">
        <v>336</v>
      </c>
      <c r="M6" s="35" t="s">
        <v>31</v>
      </c>
      <c r="N6" s="36"/>
      <c r="O6" s="35" t="s">
        <v>337</v>
      </c>
      <c r="P6" s="35" t="s">
        <v>33</v>
      </c>
      <c r="Q6" s="35" t="s">
        <v>178</v>
      </c>
      <c r="R6" s="36"/>
      <c r="S6" s="35">
        <v>257.5</v>
      </c>
      <c r="T6" s="35" t="str">
        <f>"268,3922"</f>
        <v>268,3922</v>
      </c>
      <c r="U6" s="35"/>
    </row>
    <row r="8" spans="1:20" ht="15">
      <c r="A8" s="51" t="s">
        <v>40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1" ht="12.75">
      <c r="A9" s="37" t="s">
        <v>338</v>
      </c>
      <c r="B9" s="37" t="s">
        <v>339</v>
      </c>
      <c r="C9" s="37" t="s">
        <v>340</v>
      </c>
      <c r="D9" s="37" t="str">
        <f>"0,7918"</f>
        <v>0,7918</v>
      </c>
      <c r="E9" s="37" t="s">
        <v>44</v>
      </c>
      <c r="F9" s="37" t="s">
        <v>341</v>
      </c>
      <c r="G9" s="37" t="s">
        <v>19</v>
      </c>
      <c r="H9" s="38" t="s">
        <v>342</v>
      </c>
      <c r="I9" s="38" t="s">
        <v>342</v>
      </c>
      <c r="J9" s="38"/>
      <c r="K9" s="37" t="s">
        <v>22</v>
      </c>
      <c r="L9" s="37" t="s">
        <v>23</v>
      </c>
      <c r="M9" s="37" t="s">
        <v>39</v>
      </c>
      <c r="N9" s="38"/>
      <c r="O9" s="37" t="s">
        <v>46</v>
      </c>
      <c r="P9" s="37" t="s">
        <v>47</v>
      </c>
      <c r="Q9" s="38" t="s">
        <v>343</v>
      </c>
      <c r="R9" s="38"/>
      <c r="S9" s="37">
        <v>330</v>
      </c>
      <c r="T9" s="37" t="str">
        <f>"261,2940"</f>
        <v>261,2940</v>
      </c>
      <c r="U9" s="37"/>
    </row>
    <row r="10" spans="1:21" ht="12.75">
      <c r="A10" s="41" t="s">
        <v>344</v>
      </c>
      <c r="B10" s="41" t="s">
        <v>345</v>
      </c>
      <c r="C10" s="41" t="s">
        <v>346</v>
      </c>
      <c r="D10" s="41" t="str">
        <f>"0,7807"</f>
        <v>0,7807</v>
      </c>
      <c r="E10" s="41" t="s">
        <v>44</v>
      </c>
      <c r="F10" s="41" t="s">
        <v>197</v>
      </c>
      <c r="G10" s="41" t="s">
        <v>347</v>
      </c>
      <c r="H10" s="42" t="s">
        <v>39</v>
      </c>
      <c r="I10" s="42" t="s">
        <v>39</v>
      </c>
      <c r="J10" s="42"/>
      <c r="K10" s="42" t="s">
        <v>348</v>
      </c>
      <c r="L10" s="41" t="s">
        <v>348</v>
      </c>
      <c r="M10" s="41" t="s">
        <v>347</v>
      </c>
      <c r="N10" s="42"/>
      <c r="O10" s="41" t="s">
        <v>21</v>
      </c>
      <c r="P10" s="41" t="s">
        <v>58</v>
      </c>
      <c r="Q10" s="41" t="s">
        <v>32</v>
      </c>
      <c r="R10" s="42"/>
      <c r="S10" s="41">
        <v>160</v>
      </c>
      <c r="T10" s="41" t="str">
        <f>"124,9120"</f>
        <v>124,9120</v>
      </c>
      <c r="U10" s="41"/>
    </row>
    <row r="12" spans="1:20" ht="15">
      <c r="A12" s="51" t="s">
        <v>35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</row>
    <row r="13" spans="1:21" ht="12.75">
      <c r="A13" s="35" t="s">
        <v>349</v>
      </c>
      <c r="B13" s="35" t="s">
        <v>350</v>
      </c>
      <c r="C13" s="35" t="s">
        <v>351</v>
      </c>
      <c r="D13" s="35" t="str">
        <f>"0,8128"</f>
        <v>0,8128</v>
      </c>
      <c r="E13" s="35" t="s">
        <v>44</v>
      </c>
      <c r="F13" s="35" t="s">
        <v>197</v>
      </c>
      <c r="G13" s="35" t="s">
        <v>46</v>
      </c>
      <c r="H13" s="35" t="s">
        <v>74</v>
      </c>
      <c r="I13" s="35" t="s">
        <v>100</v>
      </c>
      <c r="J13" s="36"/>
      <c r="K13" s="35" t="s">
        <v>18</v>
      </c>
      <c r="L13" s="35" t="s">
        <v>19</v>
      </c>
      <c r="M13" s="35" t="s">
        <v>20</v>
      </c>
      <c r="N13" s="36"/>
      <c r="O13" s="35" t="s">
        <v>52</v>
      </c>
      <c r="P13" s="35" t="s">
        <v>77</v>
      </c>
      <c r="Q13" s="35" t="s">
        <v>85</v>
      </c>
      <c r="R13" s="36"/>
      <c r="S13" s="35">
        <v>520</v>
      </c>
      <c r="T13" s="35" t="str">
        <f>"422,6560"</f>
        <v>422,6560</v>
      </c>
      <c r="U13" s="35"/>
    </row>
    <row r="15" spans="1:20" ht="15">
      <c r="A15" s="51" t="s">
        <v>63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</row>
    <row r="16" spans="1:21" ht="12.75">
      <c r="A16" s="37" t="s">
        <v>352</v>
      </c>
      <c r="B16" s="37" t="s">
        <v>353</v>
      </c>
      <c r="C16" s="37" t="s">
        <v>204</v>
      </c>
      <c r="D16" s="37" t="str">
        <f>"0,6209"</f>
        <v>0,6209</v>
      </c>
      <c r="E16" s="37" t="s">
        <v>44</v>
      </c>
      <c r="F16" s="37" t="s">
        <v>354</v>
      </c>
      <c r="G16" s="38" t="s">
        <v>52</v>
      </c>
      <c r="H16" s="37" t="s">
        <v>52</v>
      </c>
      <c r="I16" s="38" t="s">
        <v>67</v>
      </c>
      <c r="J16" s="38"/>
      <c r="K16" s="37" t="s">
        <v>76</v>
      </c>
      <c r="L16" s="38" t="s">
        <v>255</v>
      </c>
      <c r="M16" s="38" t="s">
        <v>255</v>
      </c>
      <c r="N16" s="38"/>
      <c r="O16" s="37" t="s">
        <v>113</v>
      </c>
      <c r="P16" s="38" t="s">
        <v>355</v>
      </c>
      <c r="Q16" s="38"/>
      <c r="R16" s="38"/>
      <c r="S16" s="37">
        <v>615</v>
      </c>
      <c r="T16" s="37" t="str">
        <f>"381,8535"</f>
        <v>381,8535</v>
      </c>
      <c r="U16" s="37"/>
    </row>
    <row r="17" spans="1:21" ht="12.75">
      <c r="A17" s="41" t="s">
        <v>356</v>
      </c>
      <c r="B17" s="41" t="s">
        <v>357</v>
      </c>
      <c r="C17" s="41" t="s">
        <v>358</v>
      </c>
      <c r="D17" s="41" t="str">
        <f>"0,6295"</f>
        <v>0,6295</v>
      </c>
      <c r="E17" s="41" t="s">
        <v>44</v>
      </c>
      <c r="F17" s="41" t="s">
        <v>354</v>
      </c>
      <c r="G17" s="42" t="s">
        <v>50</v>
      </c>
      <c r="H17" s="41" t="s">
        <v>50</v>
      </c>
      <c r="I17" s="42" t="s">
        <v>51</v>
      </c>
      <c r="J17" s="42"/>
      <c r="K17" s="41" t="s">
        <v>69</v>
      </c>
      <c r="L17" s="41" t="s">
        <v>359</v>
      </c>
      <c r="M17" s="41" t="s">
        <v>254</v>
      </c>
      <c r="N17" s="42"/>
      <c r="O17" s="41" t="s">
        <v>52</v>
      </c>
      <c r="P17" s="42" t="s">
        <v>67</v>
      </c>
      <c r="Q17" s="41" t="s">
        <v>67</v>
      </c>
      <c r="R17" s="42"/>
      <c r="S17" s="41">
        <v>542.5</v>
      </c>
      <c r="T17" s="41" t="str">
        <f>"341,5037"</f>
        <v>341,5037</v>
      </c>
      <c r="U17" s="41"/>
    </row>
    <row r="19" spans="1:20" ht="15">
      <c r="A19" s="51" t="s">
        <v>79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pans="1:21" ht="12.75">
      <c r="A20" s="37" t="s">
        <v>360</v>
      </c>
      <c r="B20" s="37" t="s">
        <v>361</v>
      </c>
      <c r="C20" s="37" t="s">
        <v>362</v>
      </c>
      <c r="D20" s="37" t="str">
        <f>"0,5930"</f>
        <v>0,5930</v>
      </c>
      <c r="E20" s="37" t="s">
        <v>111</v>
      </c>
      <c r="F20" s="37" t="s">
        <v>363</v>
      </c>
      <c r="G20" s="38" t="s">
        <v>355</v>
      </c>
      <c r="H20" s="37" t="s">
        <v>355</v>
      </c>
      <c r="I20" s="37" t="s">
        <v>114</v>
      </c>
      <c r="J20" s="38"/>
      <c r="K20" s="37" t="s">
        <v>255</v>
      </c>
      <c r="L20" s="37" t="s">
        <v>364</v>
      </c>
      <c r="M20" s="38" t="s">
        <v>115</v>
      </c>
      <c r="N20" s="38"/>
      <c r="O20" s="37" t="s">
        <v>134</v>
      </c>
      <c r="P20" s="37" t="s">
        <v>365</v>
      </c>
      <c r="Q20" s="38" t="s">
        <v>366</v>
      </c>
      <c r="R20" s="38"/>
      <c r="S20" s="37">
        <v>695</v>
      </c>
      <c r="T20" s="37" t="str">
        <f>"412,1350"</f>
        <v>412,1350</v>
      </c>
      <c r="U20" s="37"/>
    </row>
    <row r="21" spans="1:21" ht="12.75">
      <c r="A21" s="39" t="s">
        <v>367</v>
      </c>
      <c r="B21" s="39" t="s">
        <v>368</v>
      </c>
      <c r="C21" s="39" t="s">
        <v>369</v>
      </c>
      <c r="D21" s="39" t="str">
        <f>"0,5918"</f>
        <v>0,5918</v>
      </c>
      <c r="E21" s="39" t="s">
        <v>44</v>
      </c>
      <c r="F21" s="39" t="s">
        <v>197</v>
      </c>
      <c r="G21" s="39" t="s">
        <v>212</v>
      </c>
      <c r="H21" s="39" t="s">
        <v>67</v>
      </c>
      <c r="I21" s="39" t="s">
        <v>68</v>
      </c>
      <c r="J21" s="40"/>
      <c r="K21" s="39" t="s">
        <v>69</v>
      </c>
      <c r="L21" s="39" t="s">
        <v>254</v>
      </c>
      <c r="M21" s="39" t="s">
        <v>216</v>
      </c>
      <c r="N21" s="40"/>
      <c r="O21" s="39" t="s">
        <v>52</v>
      </c>
      <c r="P21" s="39" t="s">
        <v>84</v>
      </c>
      <c r="Q21" s="39" t="s">
        <v>77</v>
      </c>
      <c r="R21" s="40"/>
      <c r="S21" s="39">
        <v>602.5</v>
      </c>
      <c r="T21" s="39" t="str">
        <f>"356,5595"</f>
        <v>356,5595</v>
      </c>
      <c r="U21" s="39"/>
    </row>
    <row r="22" spans="1:21" ht="12.75">
      <c r="A22" s="41" t="s">
        <v>370</v>
      </c>
      <c r="B22" s="41" t="s">
        <v>371</v>
      </c>
      <c r="C22" s="41" t="s">
        <v>372</v>
      </c>
      <c r="D22" s="41" t="str">
        <f>"0,5939"</f>
        <v>0,5939</v>
      </c>
      <c r="E22" s="41" t="s">
        <v>44</v>
      </c>
      <c r="F22" s="41" t="s">
        <v>197</v>
      </c>
      <c r="G22" s="41" t="s">
        <v>24</v>
      </c>
      <c r="H22" s="41" t="s">
        <v>26</v>
      </c>
      <c r="I22" s="41" t="s">
        <v>69</v>
      </c>
      <c r="J22" s="42"/>
      <c r="K22" s="41" t="s">
        <v>24</v>
      </c>
      <c r="L22" s="41" t="s">
        <v>26</v>
      </c>
      <c r="M22" s="41" t="s">
        <v>83</v>
      </c>
      <c r="N22" s="42"/>
      <c r="O22" s="41" t="s">
        <v>69</v>
      </c>
      <c r="P22" s="41" t="s">
        <v>76</v>
      </c>
      <c r="Q22" s="42" t="s">
        <v>74</v>
      </c>
      <c r="R22" s="42"/>
      <c r="S22" s="41">
        <v>430</v>
      </c>
      <c r="T22" s="41" t="str">
        <f>"255,3770"</f>
        <v>255,3770</v>
      </c>
      <c r="U22" s="41"/>
    </row>
    <row r="24" spans="1:20" ht="15">
      <c r="A24" s="51" t="s">
        <v>222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</row>
    <row r="25" spans="1:21" ht="12.75">
      <c r="A25" s="35" t="s">
        <v>373</v>
      </c>
      <c r="B25" s="35" t="s">
        <v>374</v>
      </c>
      <c r="C25" s="35" t="s">
        <v>375</v>
      </c>
      <c r="D25" s="35" t="str">
        <f>"0,5550"</f>
        <v>0,5550</v>
      </c>
      <c r="E25" s="35" t="s">
        <v>44</v>
      </c>
      <c r="F25" s="35" t="s">
        <v>376</v>
      </c>
      <c r="G25" s="35" t="s">
        <v>377</v>
      </c>
      <c r="H25" s="36" t="s">
        <v>378</v>
      </c>
      <c r="I25" s="36"/>
      <c r="J25" s="36"/>
      <c r="K25" s="35" t="s">
        <v>50</v>
      </c>
      <c r="L25" s="35" t="s">
        <v>105</v>
      </c>
      <c r="M25" s="35" t="s">
        <v>263</v>
      </c>
      <c r="N25" s="36"/>
      <c r="O25" s="35" t="s">
        <v>134</v>
      </c>
      <c r="P25" s="35" t="s">
        <v>113</v>
      </c>
      <c r="Q25" s="36" t="s">
        <v>90</v>
      </c>
      <c r="R25" s="36"/>
      <c r="S25" s="35">
        <v>697.5</v>
      </c>
      <c r="T25" s="35" t="str">
        <f>"387,1125"</f>
        <v>387,1125</v>
      </c>
      <c r="U25" s="35"/>
    </row>
    <row r="27" spans="1:20" ht="15">
      <c r="A27" s="51" t="s">
        <v>107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</row>
    <row r="28" spans="1:21" ht="12.75">
      <c r="A28" s="35" t="s">
        <v>379</v>
      </c>
      <c r="B28" s="35" t="s">
        <v>380</v>
      </c>
      <c r="C28" s="35" t="s">
        <v>381</v>
      </c>
      <c r="D28" s="35" t="str">
        <f>"0,5393"</f>
        <v>0,5393</v>
      </c>
      <c r="E28" s="35" t="s">
        <v>44</v>
      </c>
      <c r="F28" s="35" t="s">
        <v>197</v>
      </c>
      <c r="G28" s="35" t="s">
        <v>67</v>
      </c>
      <c r="H28" s="36" t="s">
        <v>77</v>
      </c>
      <c r="I28" s="35" t="s">
        <v>77</v>
      </c>
      <c r="J28" s="36"/>
      <c r="K28" s="35" t="s">
        <v>74</v>
      </c>
      <c r="L28" s="35" t="s">
        <v>105</v>
      </c>
      <c r="M28" s="35" t="s">
        <v>75</v>
      </c>
      <c r="N28" s="36"/>
      <c r="O28" s="35" t="s">
        <v>85</v>
      </c>
      <c r="P28" s="35" t="s">
        <v>377</v>
      </c>
      <c r="Q28" s="36" t="s">
        <v>114</v>
      </c>
      <c r="R28" s="36"/>
      <c r="S28" s="35">
        <v>667.5</v>
      </c>
      <c r="T28" s="35" t="str">
        <f>"359,9828"</f>
        <v>359,9828</v>
      </c>
      <c r="U28" s="35"/>
    </row>
    <row r="30" ht="15">
      <c r="E30" s="43" t="s">
        <v>118</v>
      </c>
    </row>
    <row r="31" ht="15">
      <c r="E31" s="43" t="s">
        <v>119</v>
      </c>
    </row>
    <row r="32" ht="15">
      <c r="E32" s="43" t="s">
        <v>120</v>
      </c>
    </row>
    <row r="33" ht="12.75">
      <c r="E33" s="34" t="s">
        <v>121</v>
      </c>
    </row>
    <row r="34" ht="12.75">
      <c r="E34" s="34" t="s">
        <v>122</v>
      </c>
    </row>
    <row r="35" ht="12.75">
      <c r="E35" s="34" t="s">
        <v>123</v>
      </c>
    </row>
    <row r="38" spans="1:2" ht="18">
      <c r="A38" s="44" t="s">
        <v>124</v>
      </c>
      <c r="B38" s="44"/>
    </row>
    <row r="39" spans="1:2" ht="15">
      <c r="A39" s="45" t="s">
        <v>125</v>
      </c>
      <c r="B39" s="45"/>
    </row>
    <row r="40" spans="1:2" ht="14.25">
      <c r="A40" s="47" t="s">
        <v>126</v>
      </c>
      <c r="B40" s="48"/>
    </row>
    <row r="41" spans="1:5" ht="15">
      <c r="A41" s="49" t="s">
        <v>0</v>
      </c>
      <c r="B41" s="49" t="s">
        <v>127</v>
      </c>
      <c r="C41" s="49" t="s">
        <v>128</v>
      </c>
      <c r="D41" s="49" t="s">
        <v>7</v>
      </c>
      <c r="E41" s="49" t="s">
        <v>129</v>
      </c>
    </row>
    <row r="42" spans="1:5" ht="12.75">
      <c r="A42" s="46" t="s">
        <v>331</v>
      </c>
      <c r="B42" s="34" t="s">
        <v>126</v>
      </c>
      <c r="C42" s="34" t="s">
        <v>133</v>
      </c>
      <c r="D42" s="34" t="s">
        <v>382</v>
      </c>
      <c r="E42" s="50" t="s">
        <v>383</v>
      </c>
    </row>
    <row r="43" spans="1:5" ht="12.75">
      <c r="A43" s="46" t="s">
        <v>338</v>
      </c>
      <c r="B43" s="34" t="s">
        <v>126</v>
      </c>
      <c r="C43" s="34" t="s">
        <v>130</v>
      </c>
      <c r="D43" s="34" t="s">
        <v>384</v>
      </c>
      <c r="E43" s="50" t="s">
        <v>385</v>
      </c>
    </row>
    <row r="45" spans="1:2" ht="14.25">
      <c r="A45" s="47" t="s">
        <v>138</v>
      </c>
      <c r="B45" s="48"/>
    </row>
    <row r="46" spans="1:5" ht="15">
      <c r="A46" s="49" t="s">
        <v>0</v>
      </c>
      <c r="B46" s="49" t="s">
        <v>127</v>
      </c>
      <c r="C46" s="49" t="s">
        <v>128</v>
      </c>
      <c r="D46" s="49" t="s">
        <v>7</v>
      </c>
      <c r="E46" s="49" t="s">
        <v>129</v>
      </c>
    </row>
    <row r="47" spans="1:5" ht="12.75">
      <c r="A47" s="46" t="s">
        <v>344</v>
      </c>
      <c r="B47" s="34" t="s">
        <v>160</v>
      </c>
      <c r="C47" s="34" t="s">
        <v>130</v>
      </c>
      <c r="D47" s="34" t="s">
        <v>47</v>
      </c>
      <c r="E47" s="50" t="s">
        <v>386</v>
      </c>
    </row>
    <row r="50" spans="1:2" ht="15">
      <c r="A50" s="45" t="s">
        <v>145</v>
      </c>
      <c r="B50" s="45"/>
    </row>
    <row r="51" spans="1:2" ht="14.25">
      <c r="A51" s="47" t="s">
        <v>126</v>
      </c>
      <c r="B51" s="48"/>
    </row>
    <row r="52" spans="1:5" ht="15">
      <c r="A52" s="49" t="s">
        <v>0</v>
      </c>
      <c r="B52" s="49" t="s">
        <v>127</v>
      </c>
      <c r="C52" s="49" t="s">
        <v>128</v>
      </c>
      <c r="D52" s="49" t="s">
        <v>7</v>
      </c>
      <c r="E52" s="49" t="s">
        <v>129</v>
      </c>
    </row>
    <row r="53" spans="1:5" ht="12.75">
      <c r="A53" s="46" t="s">
        <v>349</v>
      </c>
      <c r="B53" s="34" t="s">
        <v>126</v>
      </c>
      <c r="C53" s="34" t="s">
        <v>136</v>
      </c>
      <c r="D53" s="34" t="s">
        <v>387</v>
      </c>
      <c r="E53" s="50" t="s">
        <v>388</v>
      </c>
    </row>
    <row r="54" spans="1:5" ht="12.75">
      <c r="A54" s="46" t="s">
        <v>360</v>
      </c>
      <c r="B54" s="34" t="s">
        <v>126</v>
      </c>
      <c r="C54" s="34" t="s">
        <v>151</v>
      </c>
      <c r="D54" s="34" t="s">
        <v>389</v>
      </c>
      <c r="E54" s="50" t="s">
        <v>390</v>
      </c>
    </row>
    <row r="55" spans="1:5" ht="12.75">
      <c r="A55" s="46" t="s">
        <v>352</v>
      </c>
      <c r="B55" s="34" t="s">
        <v>126</v>
      </c>
      <c r="C55" s="34" t="s">
        <v>148</v>
      </c>
      <c r="D55" s="34" t="s">
        <v>391</v>
      </c>
      <c r="E55" s="50" t="s">
        <v>392</v>
      </c>
    </row>
    <row r="56" spans="1:5" ht="12.75">
      <c r="A56" s="46" t="s">
        <v>379</v>
      </c>
      <c r="B56" s="34" t="s">
        <v>126</v>
      </c>
      <c r="C56" s="34" t="s">
        <v>156</v>
      </c>
      <c r="D56" s="34" t="s">
        <v>393</v>
      </c>
      <c r="E56" s="50" t="s">
        <v>394</v>
      </c>
    </row>
    <row r="57" spans="1:5" ht="12.75">
      <c r="A57" s="46" t="s">
        <v>367</v>
      </c>
      <c r="B57" s="34" t="s">
        <v>126</v>
      </c>
      <c r="C57" s="34" t="s">
        <v>151</v>
      </c>
      <c r="D57" s="34" t="s">
        <v>395</v>
      </c>
      <c r="E57" s="50" t="s">
        <v>396</v>
      </c>
    </row>
    <row r="58" spans="1:5" ht="12.75">
      <c r="A58" s="46" t="s">
        <v>356</v>
      </c>
      <c r="B58" s="34" t="s">
        <v>126</v>
      </c>
      <c r="C58" s="34" t="s">
        <v>148</v>
      </c>
      <c r="D58" s="34" t="s">
        <v>397</v>
      </c>
      <c r="E58" s="50" t="s">
        <v>398</v>
      </c>
    </row>
    <row r="59" spans="1:5" ht="12.75">
      <c r="A59" s="46" t="s">
        <v>370</v>
      </c>
      <c r="B59" s="34" t="s">
        <v>126</v>
      </c>
      <c r="C59" s="34" t="s">
        <v>151</v>
      </c>
      <c r="D59" s="34" t="s">
        <v>399</v>
      </c>
      <c r="E59" s="50" t="s">
        <v>400</v>
      </c>
    </row>
  </sheetData>
  <sheetProtection/>
  <mergeCells count="20">
    <mergeCell ref="U3:U4"/>
    <mergeCell ref="A5:T5"/>
    <mergeCell ref="A8:T8"/>
    <mergeCell ref="A12:T12"/>
    <mergeCell ref="A1:U2"/>
    <mergeCell ref="A3:A4"/>
    <mergeCell ref="B3:B4"/>
    <mergeCell ref="C3:C4"/>
    <mergeCell ref="D3:D4"/>
    <mergeCell ref="E3:E4"/>
    <mergeCell ref="A15:T15"/>
    <mergeCell ref="A19:T19"/>
    <mergeCell ref="A24:T24"/>
    <mergeCell ref="A27:T27"/>
    <mergeCell ref="S3:S4"/>
    <mergeCell ref="T3:T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L14" sqref="L14"/>
    </sheetView>
  </sheetViews>
  <sheetFormatPr defaultColWidth="9.00390625" defaultRowHeight="12.75"/>
  <cols>
    <col min="1" max="1" width="27.00390625" style="34" bestFit="1" customWidth="1"/>
    <col min="2" max="2" width="26.875" style="34" bestFit="1" customWidth="1"/>
    <col min="3" max="3" width="7.75390625" style="34" bestFit="1" customWidth="1"/>
    <col min="4" max="4" width="6.875" style="34" bestFit="1" customWidth="1"/>
    <col min="5" max="5" width="17.25390625" style="34" bestFit="1" customWidth="1"/>
    <col min="6" max="6" width="27.875" style="34" bestFit="1" customWidth="1"/>
    <col min="7" max="9" width="5.625" style="34" bestFit="1" customWidth="1"/>
    <col min="10" max="10" width="4.875" style="34" bestFit="1" customWidth="1"/>
    <col min="11" max="11" width="6.75390625" style="34" bestFit="1" customWidth="1"/>
    <col min="12" max="12" width="8.625" style="34" bestFit="1" customWidth="1"/>
    <col min="13" max="13" width="7.375" style="34" bestFit="1" customWidth="1"/>
  </cols>
  <sheetData>
    <row r="1" spans="1:13" s="1" customFormat="1" ht="15" customHeight="1">
      <c r="A1" s="62" t="s">
        <v>772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s="1" customFormat="1" ht="54.75" customHeight="1" thickBo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s="7" customFormat="1" ht="12.75" customHeight="1">
      <c r="A3" s="58" t="s">
        <v>0</v>
      </c>
      <c r="B3" s="69" t="s">
        <v>12</v>
      </c>
      <c r="C3" s="69" t="s">
        <v>11</v>
      </c>
      <c r="D3" s="54" t="s">
        <v>1</v>
      </c>
      <c r="E3" s="54" t="s">
        <v>2</v>
      </c>
      <c r="F3" s="56" t="s">
        <v>3</v>
      </c>
      <c r="G3" s="58" t="s">
        <v>5</v>
      </c>
      <c r="H3" s="54"/>
      <c r="I3" s="54"/>
      <c r="J3" s="59"/>
      <c r="K3" s="52" t="s">
        <v>7</v>
      </c>
      <c r="L3" s="54" t="s">
        <v>9</v>
      </c>
      <c r="M3" s="59" t="s">
        <v>8</v>
      </c>
    </row>
    <row r="4" spans="1:13" s="7" customFormat="1" ht="23.25" customHeight="1" thickBot="1">
      <c r="A4" s="68"/>
      <c r="B4" s="55"/>
      <c r="C4" s="55"/>
      <c r="D4" s="55"/>
      <c r="E4" s="55"/>
      <c r="F4" s="57"/>
      <c r="G4" s="3">
        <v>1</v>
      </c>
      <c r="H4" s="2">
        <v>2</v>
      </c>
      <c r="I4" s="2">
        <v>3</v>
      </c>
      <c r="J4" s="4" t="s">
        <v>10</v>
      </c>
      <c r="K4" s="53"/>
      <c r="L4" s="55"/>
      <c r="M4" s="60"/>
    </row>
    <row r="5" spans="1:12" ht="15">
      <c r="A5" s="61" t="s">
        <v>79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3" ht="12.75">
      <c r="A6" s="35" t="s">
        <v>317</v>
      </c>
      <c r="B6" s="35" t="s">
        <v>318</v>
      </c>
      <c r="C6" s="35" t="s">
        <v>319</v>
      </c>
      <c r="D6" s="35" t="str">
        <f>"0,6746"</f>
        <v>0,6746</v>
      </c>
      <c r="E6" s="35" t="s">
        <v>44</v>
      </c>
      <c r="F6" s="35" t="s">
        <v>320</v>
      </c>
      <c r="G6" s="35" t="s">
        <v>74</v>
      </c>
      <c r="H6" s="36" t="s">
        <v>50</v>
      </c>
      <c r="I6" s="36" t="s">
        <v>321</v>
      </c>
      <c r="J6" s="36"/>
      <c r="K6" s="35">
        <v>170</v>
      </c>
      <c r="L6" s="35" t="str">
        <f>"114,6848"</f>
        <v>114,6848</v>
      </c>
      <c r="M6" s="35"/>
    </row>
    <row r="8" ht="15">
      <c r="E8" s="43" t="s">
        <v>118</v>
      </c>
    </row>
    <row r="9" ht="15">
      <c r="E9" s="43" t="s">
        <v>119</v>
      </c>
    </row>
    <row r="10" ht="15">
      <c r="E10" s="43" t="s">
        <v>120</v>
      </c>
    </row>
    <row r="11" ht="12.75">
      <c r="E11" s="34" t="s">
        <v>121</v>
      </c>
    </row>
    <row r="12" ht="12.75">
      <c r="E12" s="34" t="s">
        <v>122</v>
      </c>
    </row>
    <row r="13" ht="12.75">
      <c r="E13" s="34" t="s">
        <v>123</v>
      </c>
    </row>
    <row r="16" spans="1:2" ht="18">
      <c r="A16" s="44" t="s">
        <v>124</v>
      </c>
      <c r="B16" s="44"/>
    </row>
    <row r="17" spans="1:2" ht="15">
      <c r="A17" s="45" t="s">
        <v>145</v>
      </c>
      <c r="B17" s="45"/>
    </row>
    <row r="18" spans="1:2" ht="14.25">
      <c r="A18" s="47" t="s">
        <v>138</v>
      </c>
      <c r="B18" s="48"/>
    </row>
    <row r="19" spans="1:5" ht="15">
      <c r="A19" s="49" t="s">
        <v>0</v>
      </c>
      <c r="B19" s="49" t="s">
        <v>127</v>
      </c>
      <c r="C19" s="49" t="s">
        <v>128</v>
      </c>
      <c r="D19" s="49" t="s">
        <v>7</v>
      </c>
      <c r="E19" s="49" t="s">
        <v>129</v>
      </c>
    </row>
    <row r="20" spans="1:5" ht="12.75">
      <c r="A20" s="46" t="s">
        <v>317</v>
      </c>
      <c r="B20" s="34" t="s">
        <v>307</v>
      </c>
      <c r="C20" s="34" t="s">
        <v>151</v>
      </c>
      <c r="D20" s="34" t="s">
        <v>74</v>
      </c>
      <c r="E20" s="50" t="s">
        <v>322</v>
      </c>
    </row>
  </sheetData>
  <sheetProtection/>
  <mergeCells count="12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20" sqref="A20:L20"/>
    </sheetView>
  </sheetViews>
  <sheetFormatPr defaultColWidth="9.00390625" defaultRowHeight="12.75"/>
  <cols>
    <col min="1" max="1" width="27.00390625" style="34" bestFit="1" customWidth="1"/>
    <col min="2" max="2" width="26.875" style="34" bestFit="1" customWidth="1"/>
    <col min="3" max="3" width="7.75390625" style="34" bestFit="1" customWidth="1"/>
    <col min="4" max="4" width="6.875" style="34" bestFit="1" customWidth="1"/>
    <col min="5" max="5" width="17.25390625" style="34" bestFit="1" customWidth="1"/>
    <col min="6" max="6" width="33.125" style="34" bestFit="1" customWidth="1"/>
    <col min="7" max="9" width="5.625" style="34" bestFit="1" customWidth="1"/>
    <col min="10" max="10" width="4.875" style="34" bestFit="1" customWidth="1"/>
    <col min="11" max="11" width="6.75390625" style="34" bestFit="1" customWidth="1"/>
    <col min="12" max="12" width="8.625" style="34" bestFit="1" customWidth="1"/>
    <col min="13" max="13" width="7.375" style="34" bestFit="1" customWidth="1"/>
  </cols>
  <sheetData>
    <row r="1" spans="1:13" s="1" customFormat="1" ht="29.25" customHeight="1">
      <c r="A1" s="62" t="s">
        <v>775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s="1" customFormat="1" ht="45" customHeight="1" thickBo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s="7" customFormat="1" ht="29.25" customHeight="1">
      <c r="A3" s="58" t="s">
        <v>0</v>
      </c>
      <c r="B3" s="69" t="s">
        <v>12</v>
      </c>
      <c r="C3" s="69" t="s">
        <v>11</v>
      </c>
      <c r="D3" s="54" t="s">
        <v>1</v>
      </c>
      <c r="E3" s="54" t="s">
        <v>2</v>
      </c>
      <c r="F3" s="56" t="s">
        <v>3</v>
      </c>
      <c r="G3" s="58" t="s">
        <v>5</v>
      </c>
      <c r="H3" s="54"/>
      <c r="I3" s="54"/>
      <c r="J3" s="59"/>
      <c r="K3" s="52" t="s">
        <v>7</v>
      </c>
      <c r="L3" s="54" t="s">
        <v>9</v>
      </c>
      <c r="M3" s="59" t="s">
        <v>8</v>
      </c>
    </row>
    <row r="4" spans="1:13" s="7" customFormat="1" ht="29.25" customHeight="1" thickBot="1">
      <c r="A4" s="68"/>
      <c r="B4" s="55"/>
      <c r="C4" s="55"/>
      <c r="D4" s="55"/>
      <c r="E4" s="55"/>
      <c r="F4" s="57"/>
      <c r="G4" s="3">
        <v>1</v>
      </c>
      <c r="H4" s="2">
        <v>2</v>
      </c>
      <c r="I4" s="2">
        <v>3</v>
      </c>
      <c r="J4" s="4" t="s">
        <v>10</v>
      </c>
      <c r="K4" s="53"/>
      <c r="L4" s="55"/>
      <c r="M4" s="60"/>
    </row>
    <row r="5" spans="1:12" ht="15">
      <c r="A5" s="61" t="s">
        <v>222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3" ht="12.75">
      <c r="A6" s="37" t="s">
        <v>776</v>
      </c>
      <c r="B6" s="37" t="s">
        <v>777</v>
      </c>
      <c r="C6" s="37" t="s">
        <v>778</v>
      </c>
      <c r="D6" s="37" t="str">
        <f>"0,5935"</f>
        <v>0,5935</v>
      </c>
      <c r="E6" s="37" t="s">
        <v>44</v>
      </c>
      <c r="F6" s="37" t="s">
        <v>490</v>
      </c>
      <c r="G6" s="37" t="s">
        <v>90</v>
      </c>
      <c r="H6" s="38" t="s">
        <v>90</v>
      </c>
      <c r="I6" s="37" t="s">
        <v>90</v>
      </c>
      <c r="J6" s="38"/>
      <c r="K6" s="37">
        <v>270</v>
      </c>
      <c r="L6" s="37" t="str">
        <f>"160,2315"</f>
        <v>160,2315</v>
      </c>
      <c r="M6" s="37"/>
    </row>
    <row r="7" spans="1:13" ht="12.75">
      <c r="A7" s="39" t="s">
        <v>779</v>
      </c>
      <c r="B7" s="39" t="s">
        <v>780</v>
      </c>
      <c r="C7" s="39" t="s">
        <v>241</v>
      </c>
      <c r="D7" s="39" t="str">
        <f>"0,6402"</f>
        <v>0,6402</v>
      </c>
      <c r="E7" s="39" t="s">
        <v>44</v>
      </c>
      <c r="F7" s="39" t="s">
        <v>781</v>
      </c>
      <c r="G7" s="39" t="s">
        <v>212</v>
      </c>
      <c r="H7" s="39" t="s">
        <v>70</v>
      </c>
      <c r="I7" s="40" t="s">
        <v>78</v>
      </c>
      <c r="J7" s="40"/>
      <c r="K7" s="39">
        <v>205</v>
      </c>
      <c r="L7" s="39" t="str">
        <f>"131,2357"</f>
        <v>131,2357</v>
      </c>
      <c r="M7" s="39"/>
    </row>
    <row r="8" spans="1:13" ht="12.75">
      <c r="A8" s="41" t="s">
        <v>782</v>
      </c>
      <c r="B8" s="41" t="s">
        <v>325</v>
      </c>
      <c r="C8" s="41" t="s">
        <v>326</v>
      </c>
      <c r="D8" s="41" t="str">
        <f>"0,7971"</f>
        <v>0,7971</v>
      </c>
      <c r="E8" s="41" t="s">
        <v>44</v>
      </c>
      <c r="F8" s="41" t="s">
        <v>327</v>
      </c>
      <c r="G8" s="41" t="s">
        <v>47</v>
      </c>
      <c r="H8" s="42" t="s">
        <v>115</v>
      </c>
      <c r="I8" s="42" t="s">
        <v>115</v>
      </c>
      <c r="J8" s="42"/>
      <c r="K8" s="41">
        <v>160</v>
      </c>
      <c r="L8" s="41" t="str">
        <f>"127,5407"</f>
        <v>127,5407</v>
      </c>
      <c r="M8" s="41"/>
    </row>
    <row r="10" spans="1:12" ht="15">
      <c r="A10" s="51" t="s">
        <v>272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1:13" ht="12.75">
      <c r="A11" s="35" t="s">
        <v>783</v>
      </c>
      <c r="B11" s="35" t="s">
        <v>784</v>
      </c>
      <c r="C11" s="35" t="s">
        <v>785</v>
      </c>
      <c r="D11" s="35" t="str">
        <f>"0,5579"</f>
        <v>0,5579</v>
      </c>
      <c r="E11" s="35" t="s">
        <v>44</v>
      </c>
      <c r="F11" s="35" t="s">
        <v>781</v>
      </c>
      <c r="G11" s="35" t="s">
        <v>85</v>
      </c>
      <c r="H11" s="35" t="s">
        <v>143</v>
      </c>
      <c r="I11" s="35" t="s">
        <v>377</v>
      </c>
      <c r="J11" s="36"/>
      <c r="K11" s="35">
        <v>250</v>
      </c>
      <c r="L11" s="35" t="str">
        <f>"139,4625"</f>
        <v>139,4625</v>
      </c>
      <c r="M11" s="35"/>
    </row>
    <row r="13" spans="1:12" ht="15">
      <c r="A13" s="51" t="s">
        <v>328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</row>
    <row r="14" spans="1:13" ht="12.75">
      <c r="A14" s="35" t="s">
        <v>786</v>
      </c>
      <c r="B14" s="35" t="s">
        <v>787</v>
      </c>
      <c r="C14" s="35" t="s">
        <v>788</v>
      </c>
      <c r="D14" s="35" t="str">
        <f>"0,5385"</f>
        <v>0,5385</v>
      </c>
      <c r="E14" s="35" t="s">
        <v>44</v>
      </c>
      <c r="F14" s="35" t="s">
        <v>211</v>
      </c>
      <c r="G14" s="35" t="s">
        <v>789</v>
      </c>
      <c r="H14" s="36" t="s">
        <v>790</v>
      </c>
      <c r="I14" s="36" t="s">
        <v>790</v>
      </c>
      <c r="J14" s="36"/>
      <c r="K14" s="35">
        <v>360</v>
      </c>
      <c r="L14" s="35" t="str">
        <f>"193,8744"</f>
        <v>193,8744</v>
      </c>
      <c r="M14" s="35"/>
    </row>
    <row r="16" ht="15">
      <c r="E16" s="43" t="s">
        <v>118</v>
      </c>
    </row>
    <row r="17" ht="15">
      <c r="E17" s="43" t="s">
        <v>119</v>
      </c>
    </row>
    <row r="18" ht="15">
      <c r="E18" s="43" t="s">
        <v>120</v>
      </c>
    </row>
    <row r="19" ht="12.75">
      <c r="E19" s="34" t="s">
        <v>121</v>
      </c>
    </row>
    <row r="20" ht="12.75">
      <c r="E20" s="34" t="s">
        <v>122</v>
      </c>
    </row>
    <row r="21" ht="12.75">
      <c r="E21" s="34" t="s">
        <v>123</v>
      </c>
    </row>
    <row r="24" spans="1:2" ht="18">
      <c r="A24" s="44" t="s">
        <v>124</v>
      </c>
      <c r="B24" s="44"/>
    </row>
    <row r="25" spans="1:2" ht="15">
      <c r="A25" s="45" t="s">
        <v>145</v>
      </c>
      <c r="B25" s="45"/>
    </row>
    <row r="26" spans="1:2" ht="14.25">
      <c r="A26" s="47" t="s">
        <v>146</v>
      </c>
      <c r="B26" s="48"/>
    </row>
    <row r="27" spans="1:5" ht="15">
      <c r="A27" s="49" t="s">
        <v>0</v>
      </c>
      <c r="B27" s="49" t="s">
        <v>127</v>
      </c>
      <c r="C27" s="49" t="s">
        <v>128</v>
      </c>
      <c r="D27" s="49" t="s">
        <v>7</v>
      </c>
      <c r="E27" s="49" t="s">
        <v>129</v>
      </c>
    </row>
    <row r="28" spans="1:5" ht="12.75">
      <c r="A28" s="46" t="s">
        <v>783</v>
      </c>
      <c r="B28" s="34" t="s">
        <v>147</v>
      </c>
      <c r="C28" s="34" t="s">
        <v>312</v>
      </c>
      <c r="D28" s="34" t="s">
        <v>377</v>
      </c>
      <c r="E28" s="50" t="s">
        <v>791</v>
      </c>
    </row>
    <row r="30" spans="1:2" ht="14.25">
      <c r="A30" s="47" t="s">
        <v>126</v>
      </c>
      <c r="B30" s="48"/>
    </row>
    <row r="31" spans="1:5" ht="15">
      <c r="A31" s="49" t="s">
        <v>0</v>
      </c>
      <c r="B31" s="49" t="s">
        <v>127</v>
      </c>
      <c r="C31" s="49" t="s">
        <v>128</v>
      </c>
      <c r="D31" s="49" t="s">
        <v>7</v>
      </c>
      <c r="E31" s="49" t="s">
        <v>129</v>
      </c>
    </row>
    <row r="32" spans="1:5" ht="12.75">
      <c r="A32" s="46" t="s">
        <v>786</v>
      </c>
      <c r="B32" s="34" t="s">
        <v>126</v>
      </c>
      <c r="C32" s="34" t="s">
        <v>604</v>
      </c>
      <c r="D32" s="34" t="s">
        <v>789</v>
      </c>
      <c r="E32" s="50" t="s">
        <v>792</v>
      </c>
    </row>
    <row r="33" spans="1:5" ht="12.75">
      <c r="A33" s="46" t="s">
        <v>776</v>
      </c>
      <c r="B33" s="34" t="s">
        <v>126</v>
      </c>
      <c r="C33" s="34" t="s">
        <v>290</v>
      </c>
      <c r="D33" s="34" t="s">
        <v>90</v>
      </c>
      <c r="E33" s="50" t="s">
        <v>793</v>
      </c>
    </row>
    <row r="35" spans="1:2" ht="14.25">
      <c r="A35" s="47" t="s">
        <v>138</v>
      </c>
      <c r="B35" s="48"/>
    </row>
    <row r="36" spans="1:5" ht="15">
      <c r="A36" s="49" t="s">
        <v>0</v>
      </c>
      <c r="B36" s="49" t="s">
        <v>127</v>
      </c>
      <c r="C36" s="49" t="s">
        <v>128</v>
      </c>
      <c r="D36" s="49" t="s">
        <v>7</v>
      </c>
      <c r="E36" s="49" t="s">
        <v>129</v>
      </c>
    </row>
    <row r="37" spans="1:5" ht="12.75">
      <c r="A37" s="46" t="s">
        <v>779</v>
      </c>
      <c r="B37" s="34" t="s">
        <v>307</v>
      </c>
      <c r="C37" s="34" t="s">
        <v>290</v>
      </c>
      <c r="D37" s="34" t="s">
        <v>70</v>
      </c>
      <c r="E37" s="50" t="s">
        <v>794</v>
      </c>
    </row>
    <row r="38" spans="1:5" ht="12.75">
      <c r="A38" s="46" t="s">
        <v>782</v>
      </c>
      <c r="B38" s="34" t="s">
        <v>606</v>
      </c>
      <c r="C38" s="34" t="s">
        <v>290</v>
      </c>
      <c r="D38" s="34" t="s">
        <v>47</v>
      </c>
      <c r="E38" s="50" t="s">
        <v>795</v>
      </c>
    </row>
  </sheetData>
  <sheetProtection/>
  <mergeCells count="14">
    <mergeCell ref="F3:F4"/>
    <mergeCell ref="G3:J3"/>
    <mergeCell ref="K3:K4"/>
    <mergeCell ref="L3:L4"/>
    <mergeCell ref="M3:M4"/>
    <mergeCell ref="A5:L5"/>
    <mergeCell ref="A10:L10"/>
    <mergeCell ref="A13:L13"/>
    <mergeCell ref="A1:M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20" sqref="A20:A24"/>
    </sheetView>
  </sheetViews>
  <sheetFormatPr defaultColWidth="9.00390625" defaultRowHeight="12.75"/>
  <cols>
    <col min="1" max="1" width="27.00390625" style="34" bestFit="1" customWidth="1"/>
    <col min="2" max="2" width="26.875" style="34" bestFit="1" customWidth="1"/>
    <col min="3" max="3" width="7.75390625" style="34" bestFit="1" customWidth="1"/>
    <col min="4" max="4" width="6.875" style="34" bestFit="1" customWidth="1"/>
    <col min="5" max="5" width="17.25390625" style="34" bestFit="1" customWidth="1"/>
    <col min="6" max="6" width="33.125" style="34" bestFit="1" customWidth="1"/>
    <col min="7" max="8" width="4.625" style="34" bestFit="1" customWidth="1"/>
    <col min="9" max="9" width="5.625" style="34" bestFit="1" customWidth="1"/>
    <col min="10" max="10" width="4.875" style="34" bestFit="1" customWidth="1"/>
    <col min="11" max="11" width="6.75390625" style="34" bestFit="1" customWidth="1"/>
    <col min="12" max="12" width="7.625" style="34" bestFit="1" customWidth="1"/>
    <col min="13" max="13" width="9.875" style="34" bestFit="1" customWidth="1"/>
  </cols>
  <sheetData>
    <row r="1" spans="1:13" s="1" customFormat="1" ht="15" customHeight="1">
      <c r="A1" s="62" t="s">
        <v>771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s="1" customFormat="1" ht="54" customHeight="1" thickBo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s="7" customFormat="1" ht="12.75" customHeight="1">
      <c r="A3" s="58" t="s">
        <v>0</v>
      </c>
      <c r="B3" s="69" t="s">
        <v>12</v>
      </c>
      <c r="C3" s="69" t="s">
        <v>11</v>
      </c>
      <c r="D3" s="54" t="s">
        <v>1</v>
      </c>
      <c r="E3" s="54" t="s">
        <v>2</v>
      </c>
      <c r="F3" s="56" t="s">
        <v>3</v>
      </c>
      <c r="G3" s="58" t="s">
        <v>5</v>
      </c>
      <c r="H3" s="54"/>
      <c r="I3" s="54"/>
      <c r="J3" s="59"/>
      <c r="K3" s="52" t="s">
        <v>7</v>
      </c>
      <c r="L3" s="54" t="s">
        <v>9</v>
      </c>
      <c r="M3" s="59" t="s">
        <v>8</v>
      </c>
    </row>
    <row r="4" spans="1:13" s="7" customFormat="1" ht="23.25" customHeight="1" thickBot="1">
      <c r="A4" s="68"/>
      <c r="B4" s="55"/>
      <c r="C4" s="55"/>
      <c r="D4" s="55"/>
      <c r="E4" s="55"/>
      <c r="F4" s="57"/>
      <c r="G4" s="3">
        <v>1</v>
      </c>
      <c r="H4" s="2">
        <v>2</v>
      </c>
      <c r="I4" s="2">
        <v>3</v>
      </c>
      <c r="J4" s="4" t="s">
        <v>10</v>
      </c>
      <c r="K4" s="53"/>
      <c r="L4" s="55"/>
      <c r="M4" s="60"/>
    </row>
    <row r="5" spans="1:12" ht="15">
      <c r="A5" s="61" t="s">
        <v>166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3" ht="12.75">
      <c r="A6" s="35" t="s">
        <v>167</v>
      </c>
      <c r="B6" s="35" t="s">
        <v>168</v>
      </c>
      <c r="C6" s="35" t="s">
        <v>169</v>
      </c>
      <c r="D6" s="35" t="str">
        <f>"0,9461"</f>
        <v>0,9461</v>
      </c>
      <c r="E6" s="35" t="s">
        <v>17</v>
      </c>
      <c r="F6" s="35" t="s">
        <v>17</v>
      </c>
      <c r="G6" s="35" t="s">
        <v>34</v>
      </c>
      <c r="H6" s="35" t="s">
        <v>21</v>
      </c>
      <c r="I6" s="35" t="s">
        <v>323</v>
      </c>
      <c r="J6" s="36"/>
      <c r="K6" s="35">
        <v>52.5</v>
      </c>
      <c r="L6" s="35" t="str">
        <f>"49,6718"</f>
        <v>49,6718</v>
      </c>
      <c r="M6" s="35"/>
    </row>
    <row r="8" spans="1:12" ht="15">
      <c r="A8" s="51" t="s">
        <v>174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3" ht="12.75">
      <c r="A9" s="35" t="s">
        <v>175</v>
      </c>
      <c r="B9" s="35" t="s">
        <v>176</v>
      </c>
      <c r="C9" s="35" t="s">
        <v>177</v>
      </c>
      <c r="D9" s="35" t="str">
        <f>"0,7438"</f>
        <v>0,7438</v>
      </c>
      <c r="E9" s="35" t="s">
        <v>17</v>
      </c>
      <c r="F9" s="35" t="s">
        <v>17</v>
      </c>
      <c r="G9" s="36" t="s">
        <v>33</v>
      </c>
      <c r="H9" s="35" t="s">
        <v>33</v>
      </c>
      <c r="I9" s="35" t="s">
        <v>18</v>
      </c>
      <c r="J9" s="36"/>
      <c r="K9" s="35">
        <v>100</v>
      </c>
      <c r="L9" s="35" t="str">
        <f>"74,3800"</f>
        <v>74,3800</v>
      </c>
      <c r="M9" s="35"/>
    </row>
    <row r="11" ht="15">
      <c r="E11" s="43" t="s">
        <v>118</v>
      </c>
    </row>
    <row r="12" ht="15">
      <c r="E12" s="43" t="s">
        <v>119</v>
      </c>
    </row>
    <row r="13" ht="15">
      <c r="E13" s="43" t="s">
        <v>120</v>
      </c>
    </row>
    <row r="14" ht="12.75">
      <c r="E14" s="34" t="s">
        <v>121</v>
      </c>
    </row>
    <row r="15" ht="12.75">
      <c r="E15" s="34" t="s">
        <v>122</v>
      </c>
    </row>
    <row r="16" ht="12.75">
      <c r="E16" s="34" t="s">
        <v>123</v>
      </c>
    </row>
    <row r="19" spans="1:2" ht="18">
      <c r="A19" s="44" t="s">
        <v>124</v>
      </c>
      <c r="B19" s="44"/>
    </row>
    <row r="20" spans="1:2" ht="15">
      <c r="A20" s="45" t="s">
        <v>125</v>
      </c>
      <c r="B20" s="45"/>
    </row>
    <row r="21" spans="1:2" ht="14.25">
      <c r="A21" s="47" t="s">
        <v>126</v>
      </c>
      <c r="B21" s="48"/>
    </row>
    <row r="22" spans="1:5" ht="15">
      <c r="A22" s="49" t="s">
        <v>0</v>
      </c>
      <c r="B22" s="49" t="s">
        <v>127</v>
      </c>
      <c r="C22" s="49" t="s">
        <v>128</v>
      </c>
      <c r="D22" s="49" t="s">
        <v>7</v>
      </c>
      <c r="E22" s="49" t="s">
        <v>129</v>
      </c>
    </row>
    <row r="23" spans="1:5" ht="12.75">
      <c r="A23" s="46" t="s">
        <v>175</v>
      </c>
      <c r="B23" s="34" t="s">
        <v>126</v>
      </c>
      <c r="C23" s="34" t="s">
        <v>278</v>
      </c>
      <c r="D23" s="34" t="s">
        <v>18</v>
      </c>
      <c r="E23" s="50" t="s">
        <v>329</v>
      </c>
    </row>
    <row r="25" spans="1:2" ht="14.25">
      <c r="A25" s="47" t="s">
        <v>138</v>
      </c>
      <c r="B25" s="48"/>
    </row>
    <row r="26" spans="1:5" ht="15">
      <c r="A26" s="49" t="s">
        <v>0</v>
      </c>
      <c r="B26" s="49" t="s">
        <v>127</v>
      </c>
      <c r="C26" s="49" t="s">
        <v>128</v>
      </c>
      <c r="D26" s="49" t="s">
        <v>7</v>
      </c>
      <c r="E26" s="49" t="s">
        <v>129</v>
      </c>
    </row>
    <row r="27" spans="1:5" ht="12.75">
      <c r="A27" s="46" t="s">
        <v>167</v>
      </c>
      <c r="B27" s="34" t="s">
        <v>160</v>
      </c>
      <c r="C27" s="34" t="s">
        <v>283</v>
      </c>
      <c r="D27" s="34" t="s">
        <v>323</v>
      </c>
      <c r="E27" s="50" t="s">
        <v>330</v>
      </c>
    </row>
  </sheetData>
  <sheetProtection/>
  <mergeCells count="13">
    <mergeCell ref="G3:J3"/>
    <mergeCell ref="K3:K4"/>
    <mergeCell ref="L3:L4"/>
    <mergeCell ref="M3:M4"/>
    <mergeCell ref="A5:L5"/>
    <mergeCell ref="A8:L8"/>
    <mergeCell ref="A1:M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27.00390625" style="34" bestFit="1" customWidth="1"/>
    <col min="2" max="2" width="26.875" style="34" bestFit="1" customWidth="1"/>
    <col min="3" max="3" width="7.75390625" style="34" bestFit="1" customWidth="1"/>
    <col min="4" max="4" width="6.875" style="34" bestFit="1" customWidth="1"/>
    <col min="5" max="5" width="17.25390625" style="34" bestFit="1" customWidth="1"/>
    <col min="6" max="6" width="31.125" style="34" bestFit="1" customWidth="1"/>
    <col min="7" max="7" width="5.625" style="34" bestFit="1" customWidth="1"/>
    <col min="8" max="8" width="7.625" style="34" bestFit="1" customWidth="1"/>
    <col min="9" max="9" width="2.125" style="34" bestFit="1" customWidth="1"/>
    <col min="10" max="10" width="4.875" style="34" bestFit="1" customWidth="1"/>
    <col min="11" max="11" width="6.75390625" style="34" bestFit="1" customWidth="1"/>
    <col min="12" max="12" width="9.625" style="34" bestFit="1" customWidth="1"/>
    <col min="13" max="13" width="12.75390625" style="34" bestFit="1" customWidth="1"/>
  </cols>
  <sheetData>
    <row r="1" spans="1:13" s="1" customFormat="1" ht="15" customHeight="1">
      <c r="A1" s="62" t="s">
        <v>824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s="1" customFormat="1" ht="53.25" customHeight="1" thickBo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s="7" customFormat="1" ht="12.75" customHeight="1">
      <c r="A3" s="58" t="s">
        <v>0</v>
      </c>
      <c r="B3" s="69" t="s">
        <v>825</v>
      </c>
      <c r="C3" s="69" t="s">
        <v>11</v>
      </c>
      <c r="D3" s="54" t="s">
        <v>1</v>
      </c>
      <c r="E3" s="54" t="s">
        <v>2</v>
      </c>
      <c r="F3" s="56" t="s">
        <v>3</v>
      </c>
      <c r="G3" s="54" t="s">
        <v>5</v>
      </c>
      <c r="H3" s="54"/>
      <c r="I3" s="54"/>
      <c r="J3" s="54"/>
      <c r="K3" s="54" t="s">
        <v>7</v>
      </c>
      <c r="L3" s="54" t="s">
        <v>9</v>
      </c>
      <c r="M3" s="59" t="s">
        <v>8</v>
      </c>
    </row>
    <row r="4" spans="1:13" s="7" customFormat="1" ht="23.25" customHeight="1" thickBot="1">
      <c r="A4" s="68"/>
      <c r="B4" s="55"/>
      <c r="C4" s="55"/>
      <c r="D4" s="55"/>
      <c r="E4" s="55"/>
      <c r="F4" s="57"/>
      <c r="G4" s="2" t="s">
        <v>826</v>
      </c>
      <c r="H4" s="2" t="s">
        <v>827</v>
      </c>
      <c r="I4" s="2">
        <v>3</v>
      </c>
      <c r="J4" s="4" t="s">
        <v>10</v>
      </c>
      <c r="K4" s="55"/>
      <c r="L4" s="55"/>
      <c r="M4" s="60"/>
    </row>
    <row r="5" spans="1:12" ht="15">
      <c r="A5" s="61" t="s">
        <v>59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3" ht="12.75">
      <c r="A6" s="35" t="s">
        <v>828</v>
      </c>
      <c r="B6" s="35" t="s">
        <v>829</v>
      </c>
      <c r="C6" s="35" t="s">
        <v>830</v>
      </c>
      <c r="D6" s="35" t="str">
        <f>"1,2315"</f>
        <v>1,2315</v>
      </c>
      <c r="E6" s="35" t="s">
        <v>44</v>
      </c>
      <c r="F6" s="35" t="s">
        <v>197</v>
      </c>
      <c r="G6" s="35" t="s">
        <v>21</v>
      </c>
      <c r="H6" s="35" t="s">
        <v>831</v>
      </c>
      <c r="I6" s="36"/>
      <c r="J6" s="36"/>
      <c r="K6" s="35">
        <v>1150</v>
      </c>
      <c r="L6" s="35" t="str">
        <f>"1416,2374"</f>
        <v>1416,2374</v>
      </c>
      <c r="M6" s="35" t="s">
        <v>832</v>
      </c>
    </row>
    <row r="8" spans="1:12" ht="15">
      <c r="A8" s="51" t="s">
        <v>40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3" ht="12.75">
      <c r="A9" s="35" t="s">
        <v>170</v>
      </c>
      <c r="B9" s="35" t="s">
        <v>173</v>
      </c>
      <c r="C9" s="35" t="s">
        <v>172</v>
      </c>
      <c r="D9" s="35" t="str">
        <f>"0,9171"</f>
        <v>0,9171</v>
      </c>
      <c r="E9" s="35" t="s">
        <v>833</v>
      </c>
      <c r="F9" s="35" t="s">
        <v>834</v>
      </c>
      <c r="G9" s="35" t="s">
        <v>336</v>
      </c>
      <c r="H9" s="35" t="s">
        <v>835</v>
      </c>
      <c r="I9" s="36"/>
      <c r="J9" s="36"/>
      <c r="K9" s="35">
        <v>1147.5</v>
      </c>
      <c r="L9" s="35" t="str">
        <f>"1052,4073"</f>
        <v>1052,4073</v>
      </c>
      <c r="M9" s="35"/>
    </row>
    <row r="11" spans="1:12" ht="15">
      <c r="A11" s="51" t="s">
        <v>174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pans="1:13" ht="12.75">
      <c r="A12" s="35" t="s">
        <v>175</v>
      </c>
      <c r="B12" s="35" t="s">
        <v>176</v>
      </c>
      <c r="C12" s="35" t="s">
        <v>177</v>
      </c>
      <c r="D12" s="35" t="str">
        <f>"0,8604"</f>
        <v>0,8604</v>
      </c>
      <c r="E12" s="35" t="s">
        <v>833</v>
      </c>
      <c r="F12" s="35" t="s">
        <v>834</v>
      </c>
      <c r="G12" s="35" t="s">
        <v>414</v>
      </c>
      <c r="H12" s="35" t="s">
        <v>836</v>
      </c>
      <c r="I12" s="36"/>
      <c r="J12" s="36"/>
      <c r="K12" s="35">
        <v>942.5</v>
      </c>
      <c r="L12" s="35" t="str">
        <f>"810,8799"</f>
        <v>810,8799</v>
      </c>
      <c r="M12" s="35"/>
    </row>
    <row r="14" spans="1:12" ht="15">
      <c r="A14" s="51" t="s">
        <v>63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</row>
    <row r="15" spans="1:13" ht="12.75">
      <c r="A15" s="35" t="s">
        <v>179</v>
      </c>
      <c r="B15" s="35" t="s">
        <v>180</v>
      </c>
      <c r="C15" s="35" t="s">
        <v>181</v>
      </c>
      <c r="D15" s="35" t="str">
        <f>"0,8274"</f>
        <v>0,8274</v>
      </c>
      <c r="E15" s="35" t="s">
        <v>837</v>
      </c>
      <c r="F15" s="35" t="s">
        <v>262</v>
      </c>
      <c r="G15" s="35" t="s">
        <v>49</v>
      </c>
      <c r="H15" s="35" t="s">
        <v>831</v>
      </c>
      <c r="I15" s="36"/>
      <c r="J15" s="36"/>
      <c r="K15" s="35">
        <v>1782.5</v>
      </c>
      <c r="L15" s="35" t="str">
        <f>"1474,8406"</f>
        <v>1474,8406</v>
      </c>
      <c r="M15" s="35"/>
    </row>
    <row r="17" spans="1:12" ht="15">
      <c r="A17" s="51" t="s">
        <v>59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</row>
    <row r="18" spans="1:13" ht="12.75">
      <c r="A18" s="35" t="s">
        <v>60</v>
      </c>
      <c r="B18" s="35" t="s">
        <v>61</v>
      </c>
      <c r="C18" s="35" t="s">
        <v>62</v>
      </c>
      <c r="D18" s="35" t="str">
        <f>"0,9833"</f>
        <v>0,9833</v>
      </c>
      <c r="E18" s="35" t="s">
        <v>833</v>
      </c>
      <c r="F18" s="35" t="s">
        <v>834</v>
      </c>
      <c r="G18" s="35" t="s">
        <v>838</v>
      </c>
      <c r="H18" s="35" t="s">
        <v>839</v>
      </c>
      <c r="I18" s="36"/>
      <c r="J18" s="36"/>
      <c r="K18" s="35">
        <v>1144</v>
      </c>
      <c r="L18" s="35" t="str">
        <f>"1124,8380"</f>
        <v>1124,8380</v>
      </c>
      <c r="M18" s="35"/>
    </row>
    <row r="20" spans="1:12" ht="15">
      <c r="A20" s="51" t="s">
        <v>40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</row>
    <row r="21" spans="1:13" ht="12.75">
      <c r="A21" s="35" t="s">
        <v>840</v>
      </c>
      <c r="B21" s="35" t="s">
        <v>841</v>
      </c>
      <c r="C21" s="35" t="s">
        <v>346</v>
      </c>
      <c r="D21" s="35" t="str">
        <f>"0,7503"</f>
        <v>0,7503</v>
      </c>
      <c r="E21" s="35" t="s">
        <v>44</v>
      </c>
      <c r="F21" s="35" t="s">
        <v>842</v>
      </c>
      <c r="G21" s="35" t="s">
        <v>336</v>
      </c>
      <c r="H21" s="35" t="s">
        <v>843</v>
      </c>
      <c r="I21" s="36"/>
      <c r="J21" s="36"/>
      <c r="K21" s="35">
        <v>4522.5</v>
      </c>
      <c r="L21" s="35" t="str">
        <f>"3393,4579"</f>
        <v>3393,4579</v>
      </c>
      <c r="M21" s="35"/>
    </row>
    <row r="23" spans="1:12" ht="15">
      <c r="A23" s="51" t="s">
        <v>79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</row>
    <row r="24" spans="1:13" ht="12.75">
      <c r="A24" s="37" t="s">
        <v>844</v>
      </c>
      <c r="B24" s="37" t="s">
        <v>845</v>
      </c>
      <c r="C24" s="37" t="s">
        <v>846</v>
      </c>
      <c r="D24" s="37" t="str">
        <f>"0,6247"</f>
        <v>0,6247</v>
      </c>
      <c r="E24" s="37" t="s">
        <v>44</v>
      </c>
      <c r="F24" s="37" t="s">
        <v>320</v>
      </c>
      <c r="G24" s="37" t="s">
        <v>337</v>
      </c>
      <c r="H24" s="37" t="s">
        <v>847</v>
      </c>
      <c r="I24" s="38"/>
      <c r="J24" s="38"/>
      <c r="K24" s="37">
        <v>3325</v>
      </c>
      <c r="L24" s="37" t="str">
        <f>"2076,9613"</f>
        <v>2076,9613</v>
      </c>
      <c r="M24" s="37"/>
    </row>
    <row r="25" spans="1:13" ht="12.75">
      <c r="A25" s="39" t="s">
        <v>652</v>
      </c>
      <c r="B25" s="39" t="s">
        <v>848</v>
      </c>
      <c r="C25" s="39" t="s">
        <v>219</v>
      </c>
      <c r="D25" s="39" t="str">
        <f>"0,6157"</f>
        <v>0,6157</v>
      </c>
      <c r="E25" s="39" t="s">
        <v>833</v>
      </c>
      <c r="F25" s="39" t="s">
        <v>834</v>
      </c>
      <c r="G25" s="39" t="s">
        <v>33</v>
      </c>
      <c r="H25" s="39" t="s">
        <v>849</v>
      </c>
      <c r="I25" s="40"/>
      <c r="J25" s="40"/>
      <c r="K25" s="39">
        <v>2340</v>
      </c>
      <c r="L25" s="39" t="str">
        <f>"1440,7380"</f>
        <v>1440,7380</v>
      </c>
      <c r="M25" s="39"/>
    </row>
    <row r="26" spans="1:13" ht="12.75">
      <c r="A26" s="39" t="s">
        <v>652</v>
      </c>
      <c r="B26" s="39" t="s">
        <v>218</v>
      </c>
      <c r="C26" s="39" t="s">
        <v>219</v>
      </c>
      <c r="D26" s="39" t="str">
        <f>"0,6280"</f>
        <v>0,6280</v>
      </c>
      <c r="E26" s="39" t="s">
        <v>833</v>
      </c>
      <c r="F26" s="39" t="s">
        <v>834</v>
      </c>
      <c r="G26" s="39" t="s">
        <v>33</v>
      </c>
      <c r="H26" s="39" t="s">
        <v>849</v>
      </c>
      <c r="I26" s="40"/>
      <c r="J26" s="40"/>
      <c r="K26" s="39">
        <v>2340</v>
      </c>
      <c r="L26" s="39" t="str">
        <f>"1469,5528"</f>
        <v>1469,5528</v>
      </c>
      <c r="M26" s="39"/>
    </row>
    <row r="27" spans="1:13" ht="12.75">
      <c r="A27" s="41" t="s">
        <v>220</v>
      </c>
      <c r="B27" s="41" t="s">
        <v>221</v>
      </c>
      <c r="C27" s="41" t="s">
        <v>185</v>
      </c>
      <c r="D27" s="41" t="str">
        <f>"0,7469"</f>
        <v>0,7469</v>
      </c>
      <c r="E27" s="41" t="s">
        <v>44</v>
      </c>
      <c r="F27" s="41" t="s">
        <v>850</v>
      </c>
      <c r="G27" s="41" t="s">
        <v>337</v>
      </c>
      <c r="H27" s="41" t="s">
        <v>851</v>
      </c>
      <c r="I27" s="42"/>
      <c r="J27" s="42"/>
      <c r="K27" s="41">
        <v>1837.5</v>
      </c>
      <c r="L27" s="41" t="str">
        <f>"1372,3686"</f>
        <v>1372,3686</v>
      </c>
      <c r="M27" s="41"/>
    </row>
    <row r="29" spans="1:12" ht="15">
      <c r="A29" s="51" t="s">
        <v>222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</row>
    <row r="30" spans="1:13" ht="12.75">
      <c r="A30" s="37" t="s">
        <v>236</v>
      </c>
      <c r="B30" s="37" t="s">
        <v>237</v>
      </c>
      <c r="C30" s="37" t="s">
        <v>238</v>
      </c>
      <c r="D30" s="37" t="str">
        <f>"0,5952"</f>
        <v>0,5952</v>
      </c>
      <c r="E30" s="37" t="s">
        <v>833</v>
      </c>
      <c r="F30" s="37" t="s">
        <v>834</v>
      </c>
      <c r="G30" s="37" t="s">
        <v>178</v>
      </c>
      <c r="H30" s="37" t="s">
        <v>852</v>
      </c>
      <c r="I30" s="38"/>
      <c r="J30" s="38"/>
      <c r="K30" s="37">
        <v>4085</v>
      </c>
      <c r="L30" s="37" t="str">
        <f>"2431,3920"</f>
        <v>2431,3920</v>
      </c>
      <c r="M30" s="37"/>
    </row>
    <row r="31" spans="1:13" ht="12.75">
      <c r="A31" s="41" t="s">
        <v>236</v>
      </c>
      <c r="B31" s="41" t="s">
        <v>242</v>
      </c>
      <c r="C31" s="41" t="s">
        <v>238</v>
      </c>
      <c r="D31" s="41" t="str">
        <f>"0,6208"</f>
        <v>0,6208</v>
      </c>
      <c r="E31" s="41" t="s">
        <v>833</v>
      </c>
      <c r="F31" s="41" t="s">
        <v>834</v>
      </c>
      <c r="G31" s="41" t="s">
        <v>178</v>
      </c>
      <c r="H31" s="41" t="s">
        <v>852</v>
      </c>
      <c r="I31" s="42"/>
      <c r="J31" s="42"/>
      <c r="K31" s="41">
        <v>4085</v>
      </c>
      <c r="L31" s="41" t="str">
        <f>"2535,9418"</f>
        <v>2535,9418</v>
      </c>
      <c r="M31" s="41"/>
    </row>
    <row r="33" spans="1:12" ht="15">
      <c r="A33" s="51" t="s">
        <v>107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</row>
    <row r="34" spans="1:13" ht="12.75">
      <c r="A34" s="37" t="s">
        <v>853</v>
      </c>
      <c r="B34" s="37" t="s">
        <v>854</v>
      </c>
      <c r="C34" s="37" t="s">
        <v>855</v>
      </c>
      <c r="D34" s="37" t="str">
        <f>"0,5742"</f>
        <v>0,5742</v>
      </c>
      <c r="E34" s="37" t="s">
        <v>44</v>
      </c>
      <c r="F34" s="37" t="s">
        <v>856</v>
      </c>
      <c r="G34" s="37" t="s">
        <v>206</v>
      </c>
      <c r="H34" s="37" t="s">
        <v>857</v>
      </c>
      <c r="I34" s="38"/>
      <c r="J34" s="38"/>
      <c r="K34" s="37">
        <v>2940</v>
      </c>
      <c r="L34" s="37" t="str">
        <f>"1688,1479"</f>
        <v>1688,1479</v>
      </c>
      <c r="M34" s="37"/>
    </row>
    <row r="35" spans="1:13" ht="12.75">
      <c r="A35" s="39" t="s">
        <v>256</v>
      </c>
      <c r="B35" s="39" t="s">
        <v>257</v>
      </c>
      <c r="C35" s="39" t="s">
        <v>258</v>
      </c>
      <c r="D35" s="39" t="str">
        <f>"0,5635"</f>
        <v>0,5635</v>
      </c>
      <c r="E35" s="39" t="s">
        <v>44</v>
      </c>
      <c r="F35" s="39" t="s">
        <v>197</v>
      </c>
      <c r="G35" s="39" t="s">
        <v>19</v>
      </c>
      <c r="H35" s="39" t="s">
        <v>858</v>
      </c>
      <c r="I35" s="40"/>
      <c r="J35" s="40"/>
      <c r="K35" s="39">
        <v>2970</v>
      </c>
      <c r="L35" s="39" t="str">
        <f>"1673,5950"</f>
        <v>1673,5950</v>
      </c>
      <c r="M35" s="39"/>
    </row>
    <row r="36" spans="1:13" ht="12.75">
      <c r="A36" s="41" t="s">
        <v>859</v>
      </c>
      <c r="B36" s="41" t="s">
        <v>860</v>
      </c>
      <c r="C36" s="41" t="s">
        <v>861</v>
      </c>
      <c r="D36" s="41" t="str">
        <f>"0,5664"</f>
        <v>0,5664</v>
      </c>
      <c r="E36" s="41" t="s">
        <v>44</v>
      </c>
      <c r="F36" s="41" t="s">
        <v>197</v>
      </c>
      <c r="G36" s="41" t="s">
        <v>445</v>
      </c>
      <c r="H36" s="41" t="s">
        <v>862</v>
      </c>
      <c r="I36" s="42"/>
      <c r="J36" s="42"/>
      <c r="K36" s="41">
        <v>2042.5</v>
      </c>
      <c r="L36" s="41" t="str">
        <f>"1156,9741"</f>
        <v>1156,9741</v>
      </c>
      <c r="M36" s="41"/>
    </row>
    <row r="38" spans="1:12" ht="15">
      <c r="A38" s="51" t="s">
        <v>272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</row>
    <row r="39" spans="1:13" ht="12.75">
      <c r="A39" s="37" t="s">
        <v>863</v>
      </c>
      <c r="B39" s="37" t="s">
        <v>864</v>
      </c>
      <c r="C39" s="37" t="s">
        <v>865</v>
      </c>
      <c r="D39" s="37" t="str">
        <f>"0,5618"</f>
        <v>0,5618</v>
      </c>
      <c r="E39" s="37" t="s">
        <v>44</v>
      </c>
      <c r="F39" s="37" t="s">
        <v>197</v>
      </c>
      <c r="G39" s="37" t="s">
        <v>866</v>
      </c>
      <c r="H39" s="37" t="s">
        <v>867</v>
      </c>
      <c r="I39" s="38"/>
      <c r="J39" s="38"/>
      <c r="K39" s="37">
        <v>3825</v>
      </c>
      <c r="L39" s="37" t="str">
        <f>"2148,8850"</f>
        <v>2148,8850</v>
      </c>
      <c r="M39" s="37"/>
    </row>
    <row r="40" spans="1:13" ht="12.75">
      <c r="A40" s="39" t="s">
        <v>868</v>
      </c>
      <c r="B40" s="39" t="s">
        <v>869</v>
      </c>
      <c r="C40" s="39" t="s">
        <v>870</v>
      </c>
      <c r="D40" s="39" t="str">
        <f>"0,5594"</f>
        <v>0,5594</v>
      </c>
      <c r="E40" s="39" t="s">
        <v>111</v>
      </c>
      <c r="F40" s="39" t="s">
        <v>871</v>
      </c>
      <c r="G40" s="39" t="s">
        <v>866</v>
      </c>
      <c r="H40" s="39" t="s">
        <v>872</v>
      </c>
      <c r="I40" s="40"/>
      <c r="J40" s="40"/>
      <c r="K40" s="39">
        <v>3262.5</v>
      </c>
      <c r="L40" s="39" t="str">
        <f>"1825,0426"</f>
        <v>1825,0426</v>
      </c>
      <c r="M40" s="39"/>
    </row>
    <row r="41" spans="1:13" ht="12.75">
      <c r="A41" s="41" t="s">
        <v>868</v>
      </c>
      <c r="B41" s="41" t="s">
        <v>873</v>
      </c>
      <c r="C41" s="41" t="s">
        <v>870</v>
      </c>
      <c r="D41" s="41" t="str">
        <f>"0,5767"</f>
        <v>0,5767</v>
      </c>
      <c r="E41" s="41" t="s">
        <v>111</v>
      </c>
      <c r="F41" s="41" t="s">
        <v>871</v>
      </c>
      <c r="G41" s="41" t="s">
        <v>866</v>
      </c>
      <c r="H41" s="41" t="s">
        <v>872</v>
      </c>
      <c r="I41" s="42"/>
      <c r="J41" s="42"/>
      <c r="K41" s="41">
        <v>3262.5</v>
      </c>
      <c r="L41" s="41" t="str">
        <f>"1881,6188"</f>
        <v>1881,6188</v>
      </c>
      <c r="M41" s="41"/>
    </row>
    <row r="43" ht="15">
      <c r="E43" s="43" t="s">
        <v>118</v>
      </c>
    </row>
    <row r="44" ht="15">
      <c r="E44" s="43" t="s">
        <v>119</v>
      </c>
    </row>
    <row r="45" ht="15">
      <c r="E45" s="43" t="s">
        <v>120</v>
      </c>
    </row>
    <row r="46" ht="12.75">
      <c r="E46" s="34" t="s">
        <v>121</v>
      </c>
    </row>
    <row r="47" ht="12.75">
      <c r="E47" s="34" t="s">
        <v>122</v>
      </c>
    </row>
    <row r="48" ht="12.75">
      <c r="E48" s="34" t="s">
        <v>123</v>
      </c>
    </row>
    <row r="51" spans="1:2" ht="18">
      <c r="A51" s="44" t="s">
        <v>124</v>
      </c>
      <c r="B51" s="44"/>
    </row>
    <row r="52" spans="1:2" ht="15">
      <c r="A52" s="45" t="s">
        <v>125</v>
      </c>
      <c r="B52" s="45"/>
    </row>
    <row r="53" spans="1:2" ht="14.25">
      <c r="A53" s="47" t="s">
        <v>126</v>
      </c>
      <c r="B53" s="48"/>
    </row>
    <row r="54" spans="1:5" ht="15">
      <c r="A54" s="49" t="s">
        <v>0</v>
      </c>
      <c r="B54" s="49" t="s">
        <v>127</v>
      </c>
      <c r="C54" s="49" t="s">
        <v>128</v>
      </c>
      <c r="D54" s="49" t="s">
        <v>7</v>
      </c>
      <c r="E54" s="49" t="s">
        <v>129</v>
      </c>
    </row>
    <row r="55" spans="1:5" ht="12.75">
      <c r="A55" s="46" t="s">
        <v>179</v>
      </c>
      <c r="B55" s="34" t="s">
        <v>126</v>
      </c>
      <c r="C55" s="34" t="s">
        <v>148</v>
      </c>
      <c r="D55" s="34" t="s">
        <v>874</v>
      </c>
      <c r="E55" s="50" t="s">
        <v>875</v>
      </c>
    </row>
    <row r="56" spans="1:5" ht="12.75">
      <c r="A56" s="46" t="s">
        <v>175</v>
      </c>
      <c r="B56" s="34" t="s">
        <v>126</v>
      </c>
      <c r="C56" s="34" t="s">
        <v>278</v>
      </c>
      <c r="D56" s="34" t="s">
        <v>876</v>
      </c>
      <c r="E56" s="50" t="s">
        <v>877</v>
      </c>
    </row>
    <row r="58" spans="1:2" ht="14.25">
      <c r="A58" s="47" t="s">
        <v>138</v>
      </c>
      <c r="B58" s="48"/>
    </row>
    <row r="59" spans="1:5" ht="15">
      <c r="A59" s="49" t="s">
        <v>0</v>
      </c>
      <c r="B59" s="49" t="s">
        <v>127</v>
      </c>
      <c r="C59" s="49" t="s">
        <v>128</v>
      </c>
      <c r="D59" s="49" t="s">
        <v>7</v>
      </c>
      <c r="E59" s="49" t="s">
        <v>129</v>
      </c>
    </row>
    <row r="60" spans="1:5" ht="12.75">
      <c r="A60" s="46" t="s">
        <v>828</v>
      </c>
      <c r="B60" s="34" t="s">
        <v>307</v>
      </c>
      <c r="C60" s="34" t="s">
        <v>163</v>
      </c>
      <c r="D60" s="34" t="s">
        <v>878</v>
      </c>
      <c r="E60" s="50" t="s">
        <v>879</v>
      </c>
    </row>
    <row r="61" spans="1:5" ht="12.75">
      <c r="A61" s="46" t="s">
        <v>170</v>
      </c>
      <c r="B61" s="34" t="s">
        <v>160</v>
      </c>
      <c r="C61" s="34" t="s">
        <v>130</v>
      </c>
      <c r="D61" s="34" t="s">
        <v>880</v>
      </c>
      <c r="E61" s="50" t="s">
        <v>881</v>
      </c>
    </row>
    <row r="64" spans="1:2" ht="15">
      <c r="A64" s="45" t="s">
        <v>145</v>
      </c>
      <c r="B64" s="45"/>
    </row>
    <row r="65" spans="1:2" ht="14.25">
      <c r="A65" s="47" t="s">
        <v>126</v>
      </c>
      <c r="B65" s="48"/>
    </row>
    <row r="66" spans="1:5" ht="15">
      <c r="A66" s="49" t="s">
        <v>0</v>
      </c>
      <c r="B66" s="49" t="s">
        <v>127</v>
      </c>
      <c r="C66" s="49" t="s">
        <v>128</v>
      </c>
      <c r="D66" s="49" t="s">
        <v>7</v>
      </c>
      <c r="E66" s="49" t="s">
        <v>129</v>
      </c>
    </row>
    <row r="67" spans="1:5" ht="12.75">
      <c r="A67" s="46" t="s">
        <v>840</v>
      </c>
      <c r="B67" s="34" t="s">
        <v>126</v>
      </c>
      <c r="C67" s="34" t="s">
        <v>130</v>
      </c>
      <c r="D67" s="34" t="s">
        <v>882</v>
      </c>
      <c r="E67" s="50" t="s">
        <v>883</v>
      </c>
    </row>
    <row r="68" spans="1:5" ht="12.75">
      <c r="A68" s="46" t="s">
        <v>236</v>
      </c>
      <c r="B68" s="34" t="s">
        <v>126</v>
      </c>
      <c r="C68" s="34" t="s">
        <v>290</v>
      </c>
      <c r="D68" s="34" t="s">
        <v>884</v>
      </c>
      <c r="E68" s="50" t="s">
        <v>885</v>
      </c>
    </row>
    <row r="69" spans="1:5" ht="12.75">
      <c r="A69" s="46" t="s">
        <v>863</v>
      </c>
      <c r="B69" s="34" t="s">
        <v>126</v>
      </c>
      <c r="C69" s="34" t="s">
        <v>312</v>
      </c>
      <c r="D69" s="34" t="s">
        <v>886</v>
      </c>
      <c r="E69" s="50" t="s">
        <v>887</v>
      </c>
    </row>
    <row r="70" spans="1:5" ht="12.75">
      <c r="A70" s="46" t="s">
        <v>844</v>
      </c>
      <c r="B70" s="34" t="s">
        <v>126</v>
      </c>
      <c r="C70" s="34" t="s">
        <v>151</v>
      </c>
      <c r="D70" s="34" t="s">
        <v>888</v>
      </c>
      <c r="E70" s="50" t="s">
        <v>889</v>
      </c>
    </row>
    <row r="71" spans="1:5" ht="12.75">
      <c r="A71" s="46" t="s">
        <v>868</v>
      </c>
      <c r="B71" s="34" t="s">
        <v>126</v>
      </c>
      <c r="C71" s="34" t="s">
        <v>312</v>
      </c>
      <c r="D71" s="34" t="s">
        <v>890</v>
      </c>
      <c r="E71" s="50" t="s">
        <v>891</v>
      </c>
    </row>
    <row r="72" spans="1:5" ht="12.75">
      <c r="A72" s="46" t="s">
        <v>853</v>
      </c>
      <c r="B72" s="34" t="s">
        <v>126</v>
      </c>
      <c r="C72" s="34" t="s">
        <v>156</v>
      </c>
      <c r="D72" s="34" t="s">
        <v>892</v>
      </c>
      <c r="E72" s="50" t="s">
        <v>893</v>
      </c>
    </row>
    <row r="73" spans="1:5" ht="12.75">
      <c r="A73" s="46" t="s">
        <v>256</v>
      </c>
      <c r="B73" s="34" t="s">
        <v>126</v>
      </c>
      <c r="C73" s="34" t="s">
        <v>156</v>
      </c>
      <c r="D73" s="34" t="s">
        <v>894</v>
      </c>
      <c r="E73" s="50" t="s">
        <v>895</v>
      </c>
    </row>
    <row r="74" spans="1:5" ht="12.75">
      <c r="A74" s="46" t="s">
        <v>652</v>
      </c>
      <c r="B74" s="34" t="s">
        <v>126</v>
      </c>
      <c r="C74" s="34" t="s">
        <v>151</v>
      </c>
      <c r="D74" s="34" t="s">
        <v>896</v>
      </c>
      <c r="E74" s="50" t="s">
        <v>897</v>
      </c>
    </row>
    <row r="75" spans="1:5" ht="12.75">
      <c r="A75" s="46" t="s">
        <v>859</v>
      </c>
      <c r="B75" s="34" t="s">
        <v>126</v>
      </c>
      <c r="C75" s="34" t="s">
        <v>156</v>
      </c>
      <c r="D75" s="34" t="s">
        <v>898</v>
      </c>
      <c r="E75" s="50" t="s">
        <v>899</v>
      </c>
    </row>
    <row r="77" spans="1:2" ht="14.25">
      <c r="A77" s="47" t="s">
        <v>138</v>
      </c>
      <c r="B77" s="48"/>
    </row>
    <row r="78" spans="1:5" ht="15">
      <c r="A78" s="49" t="s">
        <v>0</v>
      </c>
      <c r="B78" s="49" t="s">
        <v>127</v>
      </c>
      <c r="C78" s="49" t="s">
        <v>128</v>
      </c>
      <c r="D78" s="49" t="s">
        <v>7</v>
      </c>
      <c r="E78" s="49" t="s">
        <v>129</v>
      </c>
    </row>
    <row r="79" spans="1:5" ht="12.75">
      <c r="A79" s="46" t="s">
        <v>236</v>
      </c>
      <c r="B79" s="34" t="s">
        <v>160</v>
      </c>
      <c r="C79" s="34" t="s">
        <v>290</v>
      </c>
      <c r="D79" s="34" t="s">
        <v>884</v>
      </c>
      <c r="E79" s="50" t="s">
        <v>900</v>
      </c>
    </row>
    <row r="80" spans="1:5" ht="12.75">
      <c r="A80" s="46" t="s">
        <v>868</v>
      </c>
      <c r="B80" s="34" t="s">
        <v>160</v>
      </c>
      <c r="C80" s="34" t="s">
        <v>312</v>
      </c>
      <c r="D80" s="34" t="s">
        <v>890</v>
      </c>
      <c r="E80" s="50" t="s">
        <v>901</v>
      </c>
    </row>
    <row r="81" spans="1:5" ht="12.75">
      <c r="A81" s="46" t="s">
        <v>652</v>
      </c>
      <c r="B81" s="34" t="s">
        <v>160</v>
      </c>
      <c r="C81" s="34" t="s">
        <v>151</v>
      </c>
      <c r="D81" s="34" t="s">
        <v>896</v>
      </c>
      <c r="E81" s="50" t="s">
        <v>902</v>
      </c>
    </row>
    <row r="82" spans="1:5" ht="12.75">
      <c r="A82" s="46" t="s">
        <v>220</v>
      </c>
      <c r="B82" s="34" t="s">
        <v>139</v>
      </c>
      <c r="C82" s="34" t="s">
        <v>151</v>
      </c>
      <c r="D82" s="34" t="s">
        <v>903</v>
      </c>
      <c r="E82" s="50" t="s">
        <v>904</v>
      </c>
    </row>
    <row r="83" spans="1:5" ht="12.75">
      <c r="A83" s="46" t="s">
        <v>60</v>
      </c>
      <c r="B83" s="34" t="s">
        <v>160</v>
      </c>
      <c r="C83" s="34" t="s">
        <v>163</v>
      </c>
      <c r="D83" s="34" t="s">
        <v>905</v>
      </c>
      <c r="E83" s="50" t="s">
        <v>906</v>
      </c>
    </row>
  </sheetData>
  <sheetProtection/>
  <mergeCells count="21">
    <mergeCell ref="L3:L4"/>
    <mergeCell ref="A17:L17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A20:L20"/>
    <mergeCell ref="A23:L23"/>
    <mergeCell ref="A29:L29"/>
    <mergeCell ref="A33:L33"/>
    <mergeCell ref="A38:L38"/>
    <mergeCell ref="M3:M4"/>
    <mergeCell ref="A5:L5"/>
    <mergeCell ref="A8:L8"/>
    <mergeCell ref="A11:L11"/>
    <mergeCell ref="A14:L1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27.00390625" style="34" bestFit="1" customWidth="1"/>
    <col min="2" max="2" width="26.875" style="34" bestFit="1" customWidth="1"/>
    <col min="3" max="3" width="7.75390625" style="34" bestFit="1" customWidth="1"/>
    <col min="4" max="4" width="6.875" style="34" bestFit="1" customWidth="1"/>
    <col min="5" max="5" width="17.25390625" style="34" bestFit="1" customWidth="1"/>
    <col min="6" max="6" width="10.00390625" style="34" bestFit="1" customWidth="1"/>
    <col min="7" max="7" width="4.75390625" style="34" bestFit="1" customWidth="1"/>
    <col min="8" max="8" width="7.625" style="34" bestFit="1" customWidth="1"/>
    <col min="9" max="9" width="2.125" style="34" bestFit="1" customWidth="1"/>
    <col min="10" max="10" width="4.875" style="34" bestFit="1" customWidth="1"/>
    <col min="11" max="11" width="6.75390625" style="34" bestFit="1" customWidth="1"/>
    <col min="12" max="12" width="9.625" style="34" bestFit="1" customWidth="1"/>
    <col min="13" max="13" width="7.375" style="34" bestFit="1" customWidth="1"/>
  </cols>
  <sheetData>
    <row r="1" spans="1:13" s="1" customFormat="1" ht="15" customHeight="1">
      <c r="A1" s="62" t="s">
        <v>948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s="1" customFormat="1" ht="47.25" customHeight="1" thickBo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s="7" customFormat="1" ht="12.75" customHeight="1">
      <c r="A3" s="58" t="s">
        <v>0</v>
      </c>
      <c r="B3" s="69" t="s">
        <v>825</v>
      </c>
      <c r="C3" s="69" t="s">
        <v>11</v>
      </c>
      <c r="D3" s="54" t="s">
        <v>1</v>
      </c>
      <c r="E3" s="54" t="s">
        <v>2</v>
      </c>
      <c r="F3" s="56" t="s">
        <v>3</v>
      </c>
      <c r="G3" s="54" t="s">
        <v>5</v>
      </c>
      <c r="H3" s="54"/>
      <c r="I3" s="54"/>
      <c r="J3" s="54"/>
      <c r="K3" s="54" t="s">
        <v>7</v>
      </c>
      <c r="L3" s="54" t="s">
        <v>9</v>
      </c>
      <c r="M3" s="59" t="s">
        <v>8</v>
      </c>
    </row>
    <row r="4" spans="1:13" s="7" customFormat="1" ht="23.25" customHeight="1" thickBot="1">
      <c r="A4" s="68"/>
      <c r="B4" s="55"/>
      <c r="C4" s="55"/>
      <c r="D4" s="55"/>
      <c r="E4" s="55"/>
      <c r="F4" s="57"/>
      <c r="G4" s="2" t="s">
        <v>826</v>
      </c>
      <c r="H4" s="2" t="s">
        <v>827</v>
      </c>
      <c r="I4" s="2">
        <v>3</v>
      </c>
      <c r="J4" s="4" t="s">
        <v>10</v>
      </c>
      <c r="K4" s="55"/>
      <c r="L4" s="55"/>
      <c r="M4" s="60"/>
    </row>
    <row r="5" spans="1:12" ht="15">
      <c r="A5" s="61" t="s">
        <v>166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3" ht="12.75">
      <c r="A6" s="35" t="s">
        <v>167</v>
      </c>
      <c r="B6" s="35" t="s">
        <v>168</v>
      </c>
      <c r="C6" s="35" t="s">
        <v>169</v>
      </c>
      <c r="D6" s="35" t="str">
        <f>"1,0904"</f>
        <v>1,0904</v>
      </c>
      <c r="E6" s="35" t="s">
        <v>833</v>
      </c>
      <c r="F6" s="35" t="s">
        <v>834</v>
      </c>
      <c r="G6" s="35" t="s">
        <v>949</v>
      </c>
      <c r="H6" s="35" t="s">
        <v>847</v>
      </c>
      <c r="I6" s="36"/>
      <c r="J6" s="36"/>
      <c r="K6" s="35">
        <v>1045</v>
      </c>
      <c r="L6" s="35" t="str">
        <f>"1139,4637"</f>
        <v>1139,4637</v>
      </c>
      <c r="M6" s="35"/>
    </row>
    <row r="8" ht="15">
      <c r="E8" s="43" t="s">
        <v>118</v>
      </c>
    </row>
    <row r="9" ht="15">
      <c r="E9" s="43" t="s">
        <v>119</v>
      </c>
    </row>
    <row r="10" ht="15">
      <c r="E10" s="43" t="s">
        <v>120</v>
      </c>
    </row>
    <row r="11" ht="12.75">
      <c r="E11" s="34" t="s">
        <v>121</v>
      </c>
    </row>
    <row r="12" ht="12.75">
      <c r="E12" s="34" t="s">
        <v>122</v>
      </c>
    </row>
    <row r="13" ht="12.75">
      <c r="E13" s="34" t="s">
        <v>123</v>
      </c>
    </row>
    <row r="16" spans="1:2" ht="18">
      <c r="A16" s="44" t="s">
        <v>124</v>
      </c>
      <c r="B16" s="44"/>
    </row>
    <row r="17" spans="1:2" ht="15">
      <c r="A17" s="45" t="s">
        <v>125</v>
      </c>
      <c r="B17" s="45"/>
    </row>
    <row r="18" spans="1:2" ht="14.25">
      <c r="A18" s="47" t="s">
        <v>138</v>
      </c>
      <c r="B18" s="48"/>
    </row>
    <row r="19" spans="1:5" ht="15">
      <c r="A19" s="49" t="s">
        <v>0</v>
      </c>
      <c r="B19" s="49" t="s">
        <v>127</v>
      </c>
      <c r="C19" s="49" t="s">
        <v>128</v>
      </c>
      <c r="D19" s="49" t="s">
        <v>7</v>
      </c>
      <c r="E19" s="49" t="s">
        <v>129</v>
      </c>
    </row>
    <row r="20" spans="1:5" ht="12.75">
      <c r="A20" s="46" t="s">
        <v>167</v>
      </c>
      <c r="B20" s="34" t="s">
        <v>160</v>
      </c>
      <c r="C20" s="34" t="s">
        <v>283</v>
      </c>
      <c r="D20" s="34" t="s">
        <v>950</v>
      </c>
      <c r="E20" s="50" t="s">
        <v>951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K14" sqref="K14"/>
    </sheetView>
  </sheetViews>
  <sheetFormatPr defaultColWidth="9.00390625" defaultRowHeight="12.75"/>
  <cols>
    <col min="1" max="1" width="27.00390625" style="34" bestFit="1" customWidth="1"/>
    <col min="2" max="2" width="26.875" style="34" bestFit="1" customWidth="1"/>
    <col min="3" max="3" width="7.75390625" style="34" bestFit="1" customWidth="1"/>
    <col min="4" max="4" width="6.875" style="34" bestFit="1" customWidth="1"/>
    <col min="5" max="5" width="17.25390625" style="34" bestFit="1" customWidth="1"/>
    <col min="6" max="6" width="10.375" style="34" bestFit="1" customWidth="1"/>
    <col min="7" max="8" width="5.625" style="34" bestFit="1" customWidth="1"/>
    <col min="9" max="9" width="2.125" style="34" bestFit="1" customWidth="1"/>
    <col min="10" max="10" width="4.875" style="34" bestFit="1" customWidth="1"/>
    <col min="11" max="11" width="6.75390625" style="34" bestFit="1" customWidth="1"/>
    <col min="12" max="12" width="8.625" style="34" bestFit="1" customWidth="1"/>
    <col min="13" max="13" width="7.375" style="34" bestFit="1" customWidth="1"/>
  </cols>
  <sheetData>
    <row r="1" spans="1:13" s="1" customFormat="1" ht="15" customHeight="1">
      <c r="A1" s="62" t="s">
        <v>765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s="1" customFormat="1" ht="57" customHeight="1" thickBo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s="7" customFormat="1" ht="12.75" customHeight="1">
      <c r="A3" s="58" t="s">
        <v>0</v>
      </c>
      <c r="B3" s="69" t="s">
        <v>12</v>
      </c>
      <c r="C3" s="69" t="s">
        <v>11</v>
      </c>
      <c r="D3" s="54" t="s">
        <v>1</v>
      </c>
      <c r="E3" s="54" t="s">
        <v>2</v>
      </c>
      <c r="F3" s="56" t="s">
        <v>3</v>
      </c>
      <c r="G3" s="58" t="s">
        <v>6</v>
      </c>
      <c r="H3" s="54"/>
      <c r="I3" s="54"/>
      <c r="J3" s="59"/>
      <c r="K3" s="52" t="s">
        <v>7</v>
      </c>
      <c r="L3" s="54" t="s">
        <v>9</v>
      </c>
      <c r="M3" s="59" t="s">
        <v>8</v>
      </c>
    </row>
    <row r="4" spans="1:13" s="7" customFormat="1" ht="23.25" customHeight="1" thickBot="1">
      <c r="A4" s="68"/>
      <c r="B4" s="55"/>
      <c r="C4" s="55"/>
      <c r="D4" s="55"/>
      <c r="E4" s="55"/>
      <c r="F4" s="57"/>
      <c r="G4" s="3">
        <v>1</v>
      </c>
      <c r="H4" s="2">
        <v>2</v>
      </c>
      <c r="I4" s="2">
        <v>3</v>
      </c>
      <c r="J4" s="4" t="s">
        <v>10</v>
      </c>
      <c r="K4" s="53"/>
      <c r="L4" s="55"/>
      <c r="M4" s="60"/>
    </row>
    <row r="5" spans="1:12" ht="15">
      <c r="A5" s="61" t="s">
        <v>79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3" ht="12.75">
      <c r="A6" s="35" t="s">
        <v>102</v>
      </c>
      <c r="B6" s="35" t="s">
        <v>103</v>
      </c>
      <c r="C6" s="35" t="s">
        <v>104</v>
      </c>
      <c r="D6" s="35" t="str">
        <f>"0,6054"</f>
        <v>0,6054</v>
      </c>
      <c r="E6" s="35" t="s">
        <v>17</v>
      </c>
      <c r="F6" s="35" t="s">
        <v>17</v>
      </c>
      <c r="G6" s="35" t="s">
        <v>50</v>
      </c>
      <c r="H6" s="35" t="s">
        <v>52</v>
      </c>
      <c r="I6" s="36"/>
      <c r="J6" s="36"/>
      <c r="K6" s="35">
        <v>200</v>
      </c>
      <c r="L6" s="35" t="str">
        <f>"121,0822"</f>
        <v>121,0822</v>
      </c>
      <c r="M6" s="35"/>
    </row>
    <row r="8" ht="15">
      <c r="E8" s="43" t="s">
        <v>118</v>
      </c>
    </row>
    <row r="9" ht="15">
      <c r="E9" s="43" t="s">
        <v>119</v>
      </c>
    </row>
    <row r="10" ht="15">
      <c r="E10" s="43" t="s">
        <v>120</v>
      </c>
    </row>
    <row r="11" ht="12.75">
      <c r="E11" s="34" t="s">
        <v>121</v>
      </c>
    </row>
    <row r="12" ht="12.75">
      <c r="E12" s="34" t="s">
        <v>122</v>
      </c>
    </row>
    <row r="13" ht="12.75">
      <c r="E13" s="34" t="s">
        <v>123</v>
      </c>
    </row>
    <row r="16" spans="1:2" ht="18">
      <c r="A16" s="44" t="s">
        <v>124</v>
      </c>
      <c r="B16" s="44"/>
    </row>
    <row r="17" spans="1:2" ht="15">
      <c r="A17" s="45" t="s">
        <v>145</v>
      </c>
      <c r="B17" s="45"/>
    </row>
    <row r="18" spans="1:2" ht="14.25">
      <c r="A18" s="47" t="s">
        <v>138</v>
      </c>
      <c r="B18" s="48"/>
    </row>
    <row r="19" spans="1:5" ht="15">
      <c r="A19" s="49" t="s">
        <v>0</v>
      </c>
      <c r="B19" s="49" t="s">
        <v>127</v>
      </c>
      <c r="C19" s="49" t="s">
        <v>128</v>
      </c>
      <c r="D19" s="49" t="s">
        <v>7</v>
      </c>
      <c r="E19" s="49" t="s">
        <v>129</v>
      </c>
    </row>
    <row r="20" spans="1:5" ht="12.75">
      <c r="A20" s="46" t="s">
        <v>102</v>
      </c>
      <c r="B20" s="34" t="s">
        <v>160</v>
      </c>
      <c r="C20" s="34" t="s">
        <v>151</v>
      </c>
      <c r="D20" s="34" t="s">
        <v>52</v>
      </c>
      <c r="E20" s="50" t="s">
        <v>701</v>
      </c>
    </row>
  </sheetData>
  <sheetProtection/>
  <mergeCells count="12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L14" sqref="L14"/>
    </sheetView>
  </sheetViews>
  <sheetFormatPr defaultColWidth="9.00390625" defaultRowHeight="12.75"/>
  <cols>
    <col min="1" max="1" width="27.00390625" style="34" bestFit="1" customWidth="1"/>
    <col min="2" max="2" width="19.125" style="34" bestFit="1" customWidth="1"/>
    <col min="3" max="3" width="7.75390625" style="34" bestFit="1" customWidth="1"/>
    <col min="4" max="4" width="6.875" style="34" bestFit="1" customWidth="1"/>
    <col min="5" max="5" width="17.25390625" style="34" bestFit="1" customWidth="1"/>
    <col min="6" max="6" width="10.375" style="34" bestFit="1" customWidth="1"/>
    <col min="7" max="9" width="5.625" style="34" bestFit="1" customWidth="1"/>
    <col min="10" max="10" width="4.875" style="34" bestFit="1" customWidth="1"/>
    <col min="11" max="11" width="6.75390625" style="34" bestFit="1" customWidth="1"/>
    <col min="12" max="12" width="8.625" style="34" bestFit="1" customWidth="1"/>
    <col min="13" max="13" width="7.375" style="34" bestFit="1" customWidth="1"/>
  </cols>
  <sheetData>
    <row r="1" spans="1:13" s="1" customFormat="1" ht="39" customHeight="1">
      <c r="A1" s="62" t="s">
        <v>766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s="1" customFormat="1" ht="39" customHeight="1" thickBo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s="7" customFormat="1" ht="39" customHeight="1">
      <c r="A3" s="58" t="s">
        <v>0</v>
      </c>
      <c r="B3" s="69" t="s">
        <v>12</v>
      </c>
      <c r="C3" s="69" t="s">
        <v>11</v>
      </c>
      <c r="D3" s="54" t="s">
        <v>1</v>
      </c>
      <c r="E3" s="54" t="s">
        <v>2</v>
      </c>
      <c r="F3" s="56" t="s">
        <v>3</v>
      </c>
      <c r="G3" s="58" t="s">
        <v>6</v>
      </c>
      <c r="H3" s="54"/>
      <c r="I3" s="54"/>
      <c r="J3" s="59"/>
      <c r="K3" s="52" t="s">
        <v>7</v>
      </c>
      <c r="L3" s="54" t="s">
        <v>9</v>
      </c>
      <c r="M3" s="59" t="s">
        <v>8</v>
      </c>
    </row>
    <row r="4" spans="1:13" s="7" customFormat="1" ht="39" customHeight="1" thickBot="1">
      <c r="A4" s="68"/>
      <c r="B4" s="55"/>
      <c r="C4" s="55"/>
      <c r="D4" s="55"/>
      <c r="E4" s="55"/>
      <c r="F4" s="57"/>
      <c r="G4" s="3">
        <v>1</v>
      </c>
      <c r="H4" s="2">
        <v>2</v>
      </c>
      <c r="I4" s="2">
        <v>3</v>
      </c>
      <c r="J4" s="4" t="s">
        <v>10</v>
      </c>
      <c r="K4" s="53"/>
      <c r="L4" s="55"/>
      <c r="M4" s="60"/>
    </row>
    <row r="5" spans="1:12" ht="15">
      <c r="A5" s="61" t="s">
        <v>40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3" ht="12.75">
      <c r="A6" s="35" t="s">
        <v>627</v>
      </c>
      <c r="B6" s="35" t="s">
        <v>628</v>
      </c>
      <c r="C6" s="35" t="s">
        <v>56</v>
      </c>
      <c r="D6" s="35" t="str">
        <f>"0,7418"</f>
        <v>0,7418</v>
      </c>
      <c r="E6" s="35" t="s">
        <v>44</v>
      </c>
      <c r="F6" s="35" t="s">
        <v>17</v>
      </c>
      <c r="G6" s="35" t="s">
        <v>67</v>
      </c>
      <c r="H6" s="35" t="s">
        <v>77</v>
      </c>
      <c r="I6" s="35" t="s">
        <v>698</v>
      </c>
      <c r="J6" s="36"/>
      <c r="K6" s="35">
        <v>232.5</v>
      </c>
      <c r="L6" s="35" t="str">
        <f>"172,4685"</f>
        <v>172,4685</v>
      </c>
      <c r="M6" s="35"/>
    </row>
    <row r="8" spans="1:12" ht="15">
      <c r="A8" s="51" t="s">
        <v>79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3" ht="12.75">
      <c r="A9" s="35" t="s">
        <v>97</v>
      </c>
      <c r="B9" s="35" t="s">
        <v>98</v>
      </c>
      <c r="C9" s="35" t="s">
        <v>99</v>
      </c>
      <c r="D9" s="35" t="str">
        <f>"0,5910"</f>
        <v>0,5910</v>
      </c>
      <c r="E9" s="35" t="s">
        <v>17</v>
      </c>
      <c r="F9" s="35" t="s">
        <v>17</v>
      </c>
      <c r="G9" s="35" t="s">
        <v>90</v>
      </c>
      <c r="H9" s="36" t="s">
        <v>91</v>
      </c>
      <c r="I9" s="36" t="s">
        <v>101</v>
      </c>
      <c r="J9" s="36"/>
      <c r="K9" s="35">
        <v>270</v>
      </c>
      <c r="L9" s="35" t="str">
        <f>"159,5700"</f>
        <v>159,5700</v>
      </c>
      <c r="M9" s="35"/>
    </row>
    <row r="11" ht="15">
      <c r="E11" s="43" t="s">
        <v>118</v>
      </c>
    </row>
    <row r="12" ht="15">
      <c r="E12" s="43" t="s">
        <v>119</v>
      </c>
    </row>
    <row r="13" ht="15">
      <c r="E13" s="43" t="s">
        <v>120</v>
      </c>
    </row>
    <row r="14" ht="12.75">
      <c r="E14" s="34" t="s">
        <v>121</v>
      </c>
    </row>
    <row r="15" ht="12.75">
      <c r="E15" s="34" t="s">
        <v>122</v>
      </c>
    </row>
    <row r="16" ht="12.75">
      <c r="E16" s="34" t="s">
        <v>123</v>
      </c>
    </row>
    <row r="19" spans="1:2" ht="18">
      <c r="A19" s="44" t="s">
        <v>124</v>
      </c>
      <c r="B19" s="44"/>
    </row>
    <row r="20" spans="1:2" ht="15">
      <c r="A20" s="45" t="s">
        <v>145</v>
      </c>
      <c r="B20" s="45"/>
    </row>
    <row r="21" spans="1:2" ht="14.25">
      <c r="A21" s="47" t="s">
        <v>126</v>
      </c>
      <c r="B21" s="48"/>
    </row>
    <row r="22" spans="1:5" ht="15">
      <c r="A22" s="49" t="s">
        <v>0</v>
      </c>
      <c r="B22" s="49" t="s">
        <v>127</v>
      </c>
      <c r="C22" s="49" t="s">
        <v>128</v>
      </c>
      <c r="D22" s="49" t="s">
        <v>7</v>
      </c>
      <c r="E22" s="49" t="s">
        <v>129</v>
      </c>
    </row>
    <row r="23" spans="1:5" ht="12.75">
      <c r="A23" s="46" t="s">
        <v>627</v>
      </c>
      <c r="B23" s="34" t="s">
        <v>126</v>
      </c>
      <c r="C23" s="34" t="s">
        <v>130</v>
      </c>
      <c r="D23" s="34" t="s">
        <v>698</v>
      </c>
      <c r="E23" s="50" t="s">
        <v>699</v>
      </c>
    </row>
    <row r="24" spans="1:5" ht="12.75">
      <c r="A24" s="46" t="s">
        <v>97</v>
      </c>
      <c r="B24" s="34" t="s">
        <v>126</v>
      </c>
      <c r="C24" s="34" t="s">
        <v>151</v>
      </c>
      <c r="D24" s="34" t="s">
        <v>90</v>
      </c>
      <c r="E24" s="50" t="s">
        <v>700</v>
      </c>
    </row>
  </sheetData>
  <sheetProtection/>
  <mergeCells count="13">
    <mergeCell ref="K3:K4"/>
    <mergeCell ref="L3:L4"/>
    <mergeCell ref="M3:M4"/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09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27.00390625" style="34" bestFit="1" customWidth="1"/>
    <col min="2" max="2" width="30.875" style="34" bestFit="1" customWidth="1"/>
    <col min="3" max="3" width="7.75390625" style="34" bestFit="1" customWidth="1"/>
    <col min="4" max="4" width="6.875" style="34" bestFit="1" customWidth="1"/>
    <col min="5" max="5" width="17.25390625" style="34" bestFit="1" customWidth="1"/>
    <col min="6" max="6" width="29.75390625" style="34" bestFit="1" customWidth="1"/>
    <col min="7" max="10" width="5.625" style="34" bestFit="1" customWidth="1"/>
    <col min="11" max="11" width="6.75390625" style="34" bestFit="1" customWidth="1"/>
    <col min="12" max="12" width="8.625" style="34" bestFit="1" customWidth="1"/>
    <col min="13" max="13" width="14.00390625" style="34" bestFit="1" customWidth="1"/>
  </cols>
  <sheetData>
    <row r="1" spans="1:13" s="1" customFormat="1" ht="45" customHeight="1">
      <c r="A1" s="62" t="s">
        <v>767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s="1" customFormat="1" ht="45" customHeight="1" thickBo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s="7" customFormat="1" ht="45" customHeight="1">
      <c r="A3" s="58" t="s">
        <v>0</v>
      </c>
      <c r="B3" s="69" t="s">
        <v>12</v>
      </c>
      <c r="C3" s="69" t="s">
        <v>11</v>
      </c>
      <c r="D3" s="54" t="s">
        <v>1</v>
      </c>
      <c r="E3" s="54" t="s">
        <v>2</v>
      </c>
      <c r="F3" s="56" t="s">
        <v>3</v>
      </c>
      <c r="G3" s="58" t="s">
        <v>6</v>
      </c>
      <c r="H3" s="54"/>
      <c r="I3" s="54"/>
      <c r="J3" s="59"/>
      <c r="K3" s="52" t="s">
        <v>7</v>
      </c>
      <c r="L3" s="54" t="s">
        <v>9</v>
      </c>
      <c r="M3" s="59" t="s">
        <v>8</v>
      </c>
    </row>
    <row r="4" spans="1:13" s="7" customFormat="1" ht="45" customHeight="1" thickBot="1">
      <c r="A4" s="68"/>
      <c r="B4" s="55"/>
      <c r="C4" s="55"/>
      <c r="D4" s="55"/>
      <c r="E4" s="55"/>
      <c r="F4" s="57"/>
      <c r="G4" s="3">
        <v>1</v>
      </c>
      <c r="H4" s="2">
        <v>2</v>
      </c>
      <c r="I4" s="2">
        <v>3</v>
      </c>
      <c r="J4" s="4" t="s">
        <v>10</v>
      </c>
      <c r="K4" s="53"/>
      <c r="L4" s="55"/>
      <c r="M4" s="60"/>
    </row>
    <row r="5" spans="1:12" ht="15">
      <c r="A5" s="61" t="s">
        <v>13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3" ht="12.75">
      <c r="A6" s="37" t="s">
        <v>14</v>
      </c>
      <c r="B6" s="37" t="s">
        <v>620</v>
      </c>
      <c r="C6" s="37" t="s">
        <v>16</v>
      </c>
      <c r="D6" s="37" t="str">
        <f>"1,1139"</f>
        <v>1,1139</v>
      </c>
      <c r="E6" s="37" t="s">
        <v>17</v>
      </c>
      <c r="F6" s="37" t="s">
        <v>17</v>
      </c>
      <c r="G6" s="37" t="s">
        <v>24</v>
      </c>
      <c r="H6" s="37" t="s">
        <v>25</v>
      </c>
      <c r="I6" s="37" t="s">
        <v>26</v>
      </c>
      <c r="J6" s="38"/>
      <c r="K6" s="37">
        <v>130</v>
      </c>
      <c r="L6" s="37" t="str">
        <f>"144,8070"</f>
        <v>144,8070</v>
      </c>
      <c r="M6" s="37"/>
    </row>
    <row r="7" spans="1:13" ht="12.75">
      <c r="A7" s="41" t="s">
        <v>14</v>
      </c>
      <c r="B7" s="41" t="s">
        <v>15</v>
      </c>
      <c r="C7" s="41" t="s">
        <v>16</v>
      </c>
      <c r="D7" s="41" t="str">
        <f>"1,3411"</f>
        <v>1,3411</v>
      </c>
      <c r="E7" s="41" t="s">
        <v>17</v>
      </c>
      <c r="F7" s="41" t="s">
        <v>17</v>
      </c>
      <c r="G7" s="41" t="s">
        <v>24</v>
      </c>
      <c r="H7" s="41" t="s">
        <v>25</v>
      </c>
      <c r="I7" s="41" t="s">
        <v>26</v>
      </c>
      <c r="J7" s="42"/>
      <c r="K7" s="41">
        <v>130</v>
      </c>
      <c r="L7" s="41" t="str">
        <f>"174,3476"</f>
        <v>174,3476</v>
      </c>
      <c r="M7" s="41"/>
    </row>
    <row r="9" spans="1:12" ht="15">
      <c r="A9" s="51" t="s">
        <v>35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</row>
    <row r="10" spans="1:13" ht="12.75">
      <c r="A10" s="35" t="s">
        <v>36</v>
      </c>
      <c r="B10" s="35" t="s">
        <v>37</v>
      </c>
      <c r="C10" s="35" t="s">
        <v>38</v>
      </c>
      <c r="D10" s="35" t="str">
        <f>"0,8664"</f>
        <v>0,8664</v>
      </c>
      <c r="E10" s="35" t="s">
        <v>17</v>
      </c>
      <c r="F10" s="35" t="s">
        <v>17</v>
      </c>
      <c r="G10" s="35" t="s">
        <v>18</v>
      </c>
      <c r="H10" s="35" t="s">
        <v>20</v>
      </c>
      <c r="I10" s="35" t="s">
        <v>26</v>
      </c>
      <c r="J10" s="36"/>
      <c r="K10" s="35">
        <v>130</v>
      </c>
      <c r="L10" s="35" t="str">
        <f>"112,6320"</f>
        <v>112,6320</v>
      </c>
      <c r="M10" s="35"/>
    </row>
    <row r="12" spans="1:12" ht="15">
      <c r="A12" s="51" t="s">
        <v>40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</row>
    <row r="13" spans="1:13" ht="12.75">
      <c r="A13" s="37" t="s">
        <v>41</v>
      </c>
      <c r="B13" s="37" t="s">
        <v>42</v>
      </c>
      <c r="C13" s="37" t="s">
        <v>43</v>
      </c>
      <c r="D13" s="37" t="str">
        <f>"0,7827"</f>
        <v>0,7827</v>
      </c>
      <c r="E13" s="37" t="s">
        <v>44</v>
      </c>
      <c r="F13" s="37" t="s">
        <v>45</v>
      </c>
      <c r="G13" s="37" t="s">
        <v>50</v>
      </c>
      <c r="H13" s="37" t="s">
        <v>51</v>
      </c>
      <c r="I13" s="37" t="s">
        <v>52</v>
      </c>
      <c r="J13" s="37" t="s">
        <v>53</v>
      </c>
      <c r="K13" s="37">
        <v>200</v>
      </c>
      <c r="L13" s="37" t="str">
        <f>"156,5400"</f>
        <v>156,5400</v>
      </c>
      <c r="M13" s="37"/>
    </row>
    <row r="14" spans="1:13" ht="12.75">
      <c r="A14" s="41" t="s">
        <v>621</v>
      </c>
      <c r="B14" s="41" t="s">
        <v>622</v>
      </c>
      <c r="C14" s="41" t="s">
        <v>623</v>
      </c>
      <c r="D14" s="41" t="str">
        <f>"0,7887"</f>
        <v>0,7887</v>
      </c>
      <c r="E14" s="41" t="s">
        <v>44</v>
      </c>
      <c r="F14" s="41" t="s">
        <v>197</v>
      </c>
      <c r="G14" s="42" t="s">
        <v>100</v>
      </c>
      <c r="H14" s="42" t="s">
        <v>321</v>
      </c>
      <c r="I14" s="41" t="s">
        <v>321</v>
      </c>
      <c r="J14" s="42"/>
      <c r="K14" s="41">
        <v>182.5</v>
      </c>
      <c r="L14" s="41" t="str">
        <f>"143,9377"</f>
        <v>143,9377</v>
      </c>
      <c r="M14" s="41"/>
    </row>
    <row r="16" spans="1:12" ht="15">
      <c r="A16" s="51" t="s">
        <v>174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</row>
    <row r="17" spans="1:13" ht="12.75">
      <c r="A17" s="35" t="s">
        <v>624</v>
      </c>
      <c r="B17" s="35" t="s">
        <v>625</v>
      </c>
      <c r="C17" s="35" t="s">
        <v>626</v>
      </c>
      <c r="D17" s="35" t="str">
        <f>"0,7301"</f>
        <v>0,7301</v>
      </c>
      <c r="E17" s="35" t="s">
        <v>44</v>
      </c>
      <c r="F17" s="35" t="s">
        <v>197</v>
      </c>
      <c r="G17" s="35" t="s">
        <v>67</v>
      </c>
      <c r="H17" s="36" t="s">
        <v>68</v>
      </c>
      <c r="I17" s="35" t="s">
        <v>77</v>
      </c>
      <c r="J17" s="36" t="s">
        <v>78</v>
      </c>
      <c r="K17" s="35">
        <v>225</v>
      </c>
      <c r="L17" s="35" t="str">
        <f>"164,2725"</f>
        <v>164,2725</v>
      </c>
      <c r="M17" s="35"/>
    </row>
    <row r="19" spans="1:12" ht="15">
      <c r="A19" s="51" t="s">
        <v>59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</row>
    <row r="20" spans="1:13" ht="12.75">
      <c r="A20" s="35" t="s">
        <v>60</v>
      </c>
      <c r="B20" s="35" t="s">
        <v>61</v>
      </c>
      <c r="C20" s="35" t="s">
        <v>62</v>
      </c>
      <c r="D20" s="35" t="str">
        <f>"0,9690"</f>
        <v>0,9690</v>
      </c>
      <c r="E20" s="35" t="s">
        <v>17</v>
      </c>
      <c r="F20" s="35" t="s">
        <v>17</v>
      </c>
      <c r="G20" s="35" t="s">
        <v>31</v>
      </c>
      <c r="H20" s="35" t="s">
        <v>18</v>
      </c>
      <c r="I20" s="35" t="s">
        <v>206</v>
      </c>
      <c r="J20" s="36"/>
      <c r="K20" s="35">
        <v>105</v>
      </c>
      <c r="L20" s="35" t="str">
        <f>"101,7450"</f>
        <v>101,7450</v>
      </c>
      <c r="M20" s="35"/>
    </row>
    <row r="22" spans="1:12" ht="15">
      <c r="A22" s="51" t="s">
        <v>40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</row>
    <row r="23" spans="1:13" ht="12.75">
      <c r="A23" s="35" t="s">
        <v>627</v>
      </c>
      <c r="B23" s="35" t="s">
        <v>628</v>
      </c>
      <c r="C23" s="35" t="s">
        <v>56</v>
      </c>
      <c r="D23" s="35" t="str">
        <f>"0,7418"</f>
        <v>0,7418</v>
      </c>
      <c r="E23" s="35" t="s">
        <v>17</v>
      </c>
      <c r="F23" s="35" t="s">
        <v>17</v>
      </c>
      <c r="G23" s="35" t="s">
        <v>67</v>
      </c>
      <c r="H23" s="35" t="s">
        <v>68</v>
      </c>
      <c r="I23" s="35" t="s">
        <v>77</v>
      </c>
      <c r="J23" s="36"/>
      <c r="K23" s="35">
        <v>225</v>
      </c>
      <c r="L23" s="35" t="str">
        <f>"166,9050"</f>
        <v>166,9050</v>
      </c>
      <c r="M23" s="35"/>
    </row>
    <row r="25" spans="1:12" ht="15">
      <c r="A25" s="51" t="s">
        <v>63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</row>
    <row r="26" spans="1:13" ht="12.75">
      <c r="A26" s="37" t="s">
        <v>629</v>
      </c>
      <c r="B26" s="37" t="s">
        <v>630</v>
      </c>
      <c r="C26" s="37" t="s">
        <v>631</v>
      </c>
      <c r="D26" s="37" t="str">
        <f>"0,6230"</f>
        <v>0,6230</v>
      </c>
      <c r="E26" s="37" t="s">
        <v>44</v>
      </c>
      <c r="F26" s="37" t="s">
        <v>632</v>
      </c>
      <c r="G26" s="37" t="s">
        <v>51</v>
      </c>
      <c r="H26" s="37" t="s">
        <v>70</v>
      </c>
      <c r="I26" s="38" t="s">
        <v>67</v>
      </c>
      <c r="J26" s="38"/>
      <c r="K26" s="37">
        <v>205</v>
      </c>
      <c r="L26" s="37" t="str">
        <f>"127,7150"</f>
        <v>127,7150</v>
      </c>
      <c r="M26" s="37"/>
    </row>
    <row r="27" spans="1:13" ht="12.75">
      <c r="A27" s="39" t="s">
        <v>633</v>
      </c>
      <c r="B27" s="39" t="s">
        <v>634</v>
      </c>
      <c r="C27" s="39" t="s">
        <v>484</v>
      </c>
      <c r="D27" s="39" t="str">
        <f>"0,6219"</f>
        <v>0,6219</v>
      </c>
      <c r="E27" s="39" t="s">
        <v>44</v>
      </c>
      <c r="F27" s="39" t="s">
        <v>197</v>
      </c>
      <c r="G27" s="39" t="s">
        <v>51</v>
      </c>
      <c r="H27" s="39" t="s">
        <v>70</v>
      </c>
      <c r="I27" s="40" t="s">
        <v>271</v>
      </c>
      <c r="J27" s="40"/>
      <c r="K27" s="39">
        <v>205</v>
      </c>
      <c r="L27" s="39" t="str">
        <f>"127,4895"</f>
        <v>127,4895</v>
      </c>
      <c r="M27" s="39"/>
    </row>
    <row r="28" spans="1:13" ht="12.75">
      <c r="A28" s="39" t="s">
        <v>629</v>
      </c>
      <c r="B28" s="39" t="s">
        <v>635</v>
      </c>
      <c r="C28" s="39" t="s">
        <v>631</v>
      </c>
      <c r="D28" s="39" t="str">
        <f>"0,6230"</f>
        <v>0,6230</v>
      </c>
      <c r="E28" s="39" t="s">
        <v>44</v>
      </c>
      <c r="F28" s="39" t="s">
        <v>632</v>
      </c>
      <c r="G28" s="39" t="s">
        <v>51</v>
      </c>
      <c r="H28" s="39" t="s">
        <v>70</v>
      </c>
      <c r="I28" s="40" t="s">
        <v>67</v>
      </c>
      <c r="J28" s="40"/>
      <c r="K28" s="39">
        <v>205</v>
      </c>
      <c r="L28" s="39" t="str">
        <f>"127,7150"</f>
        <v>127,7150</v>
      </c>
      <c r="M28" s="39"/>
    </row>
    <row r="29" spans="1:13" ht="12.75">
      <c r="A29" s="41" t="s">
        <v>202</v>
      </c>
      <c r="B29" s="41" t="s">
        <v>203</v>
      </c>
      <c r="C29" s="41" t="s">
        <v>204</v>
      </c>
      <c r="D29" s="41" t="str">
        <f>"1,2890"</f>
        <v>1,2890</v>
      </c>
      <c r="E29" s="41" t="s">
        <v>111</v>
      </c>
      <c r="F29" s="41" t="s">
        <v>205</v>
      </c>
      <c r="G29" s="41" t="s">
        <v>74</v>
      </c>
      <c r="H29" s="41" t="s">
        <v>50</v>
      </c>
      <c r="I29" s="41" t="s">
        <v>51</v>
      </c>
      <c r="J29" s="42"/>
      <c r="K29" s="41">
        <v>190</v>
      </c>
      <c r="L29" s="41" t="str">
        <f>"244,9078"</f>
        <v>244,9078</v>
      </c>
      <c r="M29" s="41"/>
    </row>
    <row r="31" spans="1:12" ht="15">
      <c r="A31" s="51" t="s">
        <v>79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</row>
    <row r="32" spans="1:13" ht="12.75">
      <c r="A32" s="37" t="s">
        <v>636</v>
      </c>
      <c r="B32" s="37" t="s">
        <v>637</v>
      </c>
      <c r="C32" s="37" t="s">
        <v>219</v>
      </c>
      <c r="D32" s="37" t="str">
        <f>"0,5893"</f>
        <v>0,5893</v>
      </c>
      <c r="E32" s="37" t="s">
        <v>17</v>
      </c>
      <c r="F32" s="37" t="s">
        <v>17</v>
      </c>
      <c r="G32" s="38" t="s">
        <v>638</v>
      </c>
      <c r="H32" s="37" t="s">
        <v>91</v>
      </c>
      <c r="I32" s="38" t="s">
        <v>639</v>
      </c>
      <c r="J32" s="38"/>
      <c r="K32" s="37">
        <v>280</v>
      </c>
      <c r="L32" s="37" t="str">
        <f>"165,0040"</f>
        <v>165,0040</v>
      </c>
      <c r="M32" s="37"/>
    </row>
    <row r="33" spans="1:13" ht="12.75">
      <c r="A33" s="39" t="s">
        <v>80</v>
      </c>
      <c r="B33" s="39" t="s">
        <v>81</v>
      </c>
      <c r="C33" s="39" t="s">
        <v>82</v>
      </c>
      <c r="D33" s="39" t="str">
        <f>"0,5947"</f>
        <v>0,5947</v>
      </c>
      <c r="E33" s="39" t="s">
        <v>17</v>
      </c>
      <c r="F33" s="39" t="s">
        <v>17</v>
      </c>
      <c r="G33" s="39" t="s">
        <v>84</v>
      </c>
      <c r="H33" s="40" t="s">
        <v>85</v>
      </c>
      <c r="I33" s="40" t="s">
        <v>85</v>
      </c>
      <c r="J33" s="40"/>
      <c r="K33" s="39">
        <v>215</v>
      </c>
      <c r="L33" s="39" t="str">
        <f>"127,8605"</f>
        <v>127,8605</v>
      </c>
      <c r="M33" s="39"/>
    </row>
    <row r="34" spans="1:13" ht="12.75">
      <c r="A34" s="39" t="s">
        <v>640</v>
      </c>
      <c r="B34" s="39" t="s">
        <v>641</v>
      </c>
      <c r="C34" s="39" t="s">
        <v>642</v>
      </c>
      <c r="D34" s="39" t="str">
        <f>"0,5853"</f>
        <v>0,5853</v>
      </c>
      <c r="E34" s="39" t="s">
        <v>111</v>
      </c>
      <c r="F34" s="39" t="s">
        <v>643</v>
      </c>
      <c r="G34" s="39" t="s">
        <v>91</v>
      </c>
      <c r="H34" s="39" t="s">
        <v>639</v>
      </c>
      <c r="I34" s="39" t="s">
        <v>644</v>
      </c>
      <c r="J34" s="40"/>
      <c r="K34" s="39">
        <v>305</v>
      </c>
      <c r="L34" s="39" t="str">
        <f>"178,5165"</f>
        <v>178,5165</v>
      </c>
      <c r="M34" s="39" t="s">
        <v>645</v>
      </c>
    </row>
    <row r="35" spans="1:13" ht="12.75">
      <c r="A35" s="39" t="s">
        <v>86</v>
      </c>
      <c r="B35" s="39" t="s">
        <v>87</v>
      </c>
      <c r="C35" s="39" t="s">
        <v>88</v>
      </c>
      <c r="D35" s="39" t="str">
        <f>"0,5901"</f>
        <v>0,5901</v>
      </c>
      <c r="E35" s="39" t="s">
        <v>44</v>
      </c>
      <c r="F35" s="39" t="s">
        <v>89</v>
      </c>
      <c r="G35" s="39" t="s">
        <v>90</v>
      </c>
      <c r="H35" s="39" t="s">
        <v>91</v>
      </c>
      <c r="I35" s="39" t="s">
        <v>92</v>
      </c>
      <c r="J35" s="40"/>
      <c r="K35" s="39">
        <v>300</v>
      </c>
      <c r="L35" s="39" t="str">
        <f>"177,0300"</f>
        <v>177,0300</v>
      </c>
      <c r="M35" s="39"/>
    </row>
    <row r="36" spans="1:13" ht="12.75">
      <c r="A36" s="39" t="s">
        <v>646</v>
      </c>
      <c r="B36" s="39" t="s">
        <v>647</v>
      </c>
      <c r="C36" s="39" t="s">
        <v>369</v>
      </c>
      <c r="D36" s="39" t="str">
        <f>"0,5918"</f>
        <v>0,5918</v>
      </c>
      <c r="E36" s="39" t="s">
        <v>17</v>
      </c>
      <c r="F36" s="39" t="s">
        <v>17</v>
      </c>
      <c r="G36" s="39" t="s">
        <v>91</v>
      </c>
      <c r="H36" s="40" t="s">
        <v>639</v>
      </c>
      <c r="I36" s="40" t="s">
        <v>639</v>
      </c>
      <c r="J36" s="40"/>
      <c r="K36" s="39">
        <v>280</v>
      </c>
      <c r="L36" s="39" t="str">
        <f>"165,7040"</f>
        <v>165,7040</v>
      </c>
      <c r="M36" s="39"/>
    </row>
    <row r="37" spans="1:13" ht="12.75">
      <c r="A37" s="39" t="s">
        <v>636</v>
      </c>
      <c r="B37" s="39" t="s">
        <v>648</v>
      </c>
      <c r="C37" s="39" t="s">
        <v>219</v>
      </c>
      <c r="D37" s="39" t="str">
        <f>"0,5893"</f>
        <v>0,5893</v>
      </c>
      <c r="E37" s="39" t="s">
        <v>17</v>
      </c>
      <c r="F37" s="39" t="s">
        <v>17</v>
      </c>
      <c r="G37" s="40" t="s">
        <v>638</v>
      </c>
      <c r="H37" s="39" t="s">
        <v>91</v>
      </c>
      <c r="I37" s="40" t="s">
        <v>639</v>
      </c>
      <c r="J37" s="40"/>
      <c r="K37" s="39">
        <v>280</v>
      </c>
      <c r="L37" s="39" t="str">
        <f>"165,0040"</f>
        <v>165,0040</v>
      </c>
      <c r="M37" s="39"/>
    </row>
    <row r="38" spans="1:13" ht="12.75">
      <c r="A38" s="39" t="s">
        <v>649</v>
      </c>
      <c r="B38" s="39" t="s">
        <v>650</v>
      </c>
      <c r="C38" s="39" t="s">
        <v>651</v>
      </c>
      <c r="D38" s="39" t="str">
        <f>"0,6013"</f>
        <v>0,6013</v>
      </c>
      <c r="E38" s="39" t="s">
        <v>44</v>
      </c>
      <c r="F38" s="39" t="s">
        <v>197</v>
      </c>
      <c r="G38" s="39" t="s">
        <v>355</v>
      </c>
      <c r="H38" s="40" t="s">
        <v>91</v>
      </c>
      <c r="I38" s="40" t="s">
        <v>91</v>
      </c>
      <c r="J38" s="40"/>
      <c r="K38" s="39">
        <v>265</v>
      </c>
      <c r="L38" s="39" t="str">
        <f>"159,3445"</f>
        <v>159,3445</v>
      </c>
      <c r="M38" s="39"/>
    </row>
    <row r="39" spans="1:13" ht="12.75">
      <c r="A39" s="39" t="s">
        <v>97</v>
      </c>
      <c r="B39" s="39" t="s">
        <v>98</v>
      </c>
      <c r="C39" s="39" t="s">
        <v>99</v>
      </c>
      <c r="D39" s="39" t="str">
        <f>"0,5910"</f>
        <v>0,5910</v>
      </c>
      <c r="E39" s="39" t="s">
        <v>17</v>
      </c>
      <c r="F39" s="39" t="s">
        <v>17</v>
      </c>
      <c r="G39" s="39" t="s">
        <v>377</v>
      </c>
      <c r="H39" s="39" t="s">
        <v>355</v>
      </c>
      <c r="I39" s="40" t="s">
        <v>638</v>
      </c>
      <c r="J39" s="40"/>
      <c r="K39" s="39">
        <v>265</v>
      </c>
      <c r="L39" s="39" t="str">
        <f>"156,6150"</f>
        <v>156,6150</v>
      </c>
      <c r="M39" s="39"/>
    </row>
    <row r="40" spans="1:13" ht="12.75">
      <c r="A40" s="39" t="s">
        <v>652</v>
      </c>
      <c r="B40" s="39" t="s">
        <v>218</v>
      </c>
      <c r="C40" s="39" t="s">
        <v>219</v>
      </c>
      <c r="D40" s="39" t="str">
        <f>"0,5946"</f>
        <v>0,5946</v>
      </c>
      <c r="E40" s="39" t="s">
        <v>17</v>
      </c>
      <c r="F40" s="39" t="s">
        <v>17</v>
      </c>
      <c r="G40" s="39" t="s">
        <v>50</v>
      </c>
      <c r="H40" s="39" t="s">
        <v>68</v>
      </c>
      <c r="I40" s="39" t="s">
        <v>78</v>
      </c>
      <c r="J40" s="40"/>
      <c r="K40" s="39">
        <v>235</v>
      </c>
      <c r="L40" s="39" t="str">
        <f>"139,7319"</f>
        <v>139,7319</v>
      </c>
      <c r="M40" s="39"/>
    </row>
    <row r="41" spans="1:13" ht="12.75">
      <c r="A41" s="41" t="s">
        <v>102</v>
      </c>
      <c r="B41" s="41" t="s">
        <v>103</v>
      </c>
      <c r="C41" s="41" t="s">
        <v>104</v>
      </c>
      <c r="D41" s="41" t="str">
        <f>"0,6054"</f>
        <v>0,6054</v>
      </c>
      <c r="E41" s="41" t="s">
        <v>44</v>
      </c>
      <c r="F41" s="41" t="s">
        <v>17</v>
      </c>
      <c r="G41" s="41" t="s">
        <v>52</v>
      </c>
      <c r="H41" s="41" t="s">
        <v>84</v>
      </c>
      <c r="I41" s="41" t="s">
        <v>77</v>
      </c>
      <c r="J41" s="42"/>
      <c r="K41" s="41">
        <v>225</v>
      </c>
      <c r="L41" s="41" t="str">
        <f>"136,2174"</f>
        <v>136,2174</v>
      </c>
      <c r="M41" s="41"/>
    </row>
    <row r="43" spans="1:12" ht="15">
      <c r="A43" s="51" t="s">
        <v>222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</row>
    <row r="44" spans="1:13" ht="12.75">
      <c r="A44" s="37" t="s">
        <v>653</v>
      </c>
      <c r="B44" s="37" t="s">
        <v>654</v>
      </c>
      <c r="C44" s="37" t="s">
        <v>526</v>
      </c>
      <c r="D44" s="37" t="str">
        <f>"0,5613"</f>
        <v>0,5613</v>
      </c>
      <c r="E44" s="37" t="s">
        <v>44</v>
      </c>
      <c r="F44" s="37" t="s">
        <v>655</v>
      </c>
      <c r="G44" s="37" t="s">
        <v>90</v>
      </c>
      <c r="H44" s="37" t="s">
        <v>91</v>
      </c>
      <c r="I44" s="37" t="s">
        <v>656</v>
      </c>
      <c r="J44" s="38"/>
      <c r="K44" s="37">
        <v>290</v>
      </c>
      <c r="L44" s="37" t="str">
        <f>"162,7770"</f>
        <v>162,7770</v>
      </c>
      <c r="M44" s="37"/>
    </row>
    <row r="45" spans="1:13" ht="12.75">
      <c r="A45" s="39" t="s">
        <v>243</v>
      </c>
      <c r="B45" s="39" t="s">
        <v>244</v>
      </c>
      <c r="C45" s="39" t="s">
        <v>245</v>
      </c>
      <c r="D45" s="39" t="str">
        <f>"0,5687"</f>
        <v>0,5687</v>
      </c>
      <c r="E45" s="39" t="s">
        <v>246</v>
      </c>
      <c r="F45" s="39" t="s">
        <v>197</v>
      </c>
      <c r="G45" s="39" t="s">
        <v>50</v>
      </c>
      <c r="H45" s="39" t="s">
        <v>212</v>
      </c>
      <c r="I45" s="40" t="s">
        <v>70</v>
      </c>
      <c r="J45" s="40"/>
      <c r="K45" s="39">
        <v>195</v>
      </c>
      <c r="L45" s="39" t="str">
        <f>"110,8911"</f>
        <v>110,8911</v>
      </c>
      <c r="M45" s="39"/>
    </row>
    <row r="46" spans="1:13" ht="12.75">
      <c r="A46" s="39" t="s">
        <v>324</v>
      </c>
      <c r="B46" s="39" t="s">
        <v>325</v>
      </c>
      <c r="C46" s="39" t="s">
        <v>326</v>
      </c>
      <c r="D46" s="39" t="str">
        <f>"0,9457"</f>
        <v>0,9457</v>
      </c>
      <c r="E46" s="39" t="s">
        <v>44</v>
      </c>
      <c r="F46" s="39" t="s">
        <v>327</v>
      </c>
      <c r="G46" s="39" t="s">
        <v>68</v>
      </c>
      <c r="H46" s="39" t="s">
        <v>134</v>
      </c>
      <c r="I46" s="39" t="s">
        <v>657</v>
      </c>
      <c r="J46" s="40"/>
      <c r="K46" s="39">
        <v>252.5</v>
      </c>
      <c r="L46" s="39" t="str">
        <f>"238,7918"</f>
        <v>238,7918</v>
      </c>
      <c r="M46" s="39"/>
    </row>
    <row r="47" spans="1:13" ht="12.75">
      <c r="A47" s="41" t="s">
        <v>658</v>
      </c>
      <c r="B47" s="41" t="s">
        <v>659</v>
      </c>
      <c r="C47" s="41" t="s">
        <v>660</v>
      </c>
      <c r="D47" s="41" t="str">
        <f>"1,1186"</f>
        <v>1,1186</v>
      </c>
      <c r="E47" s="41" t="s">
        <v>111</v>
      </c>
      <c r="F47" s="41" t="s">
        <v>661</v>
      </c>
      <c r="G47" s="41" t="s">
        <v>46</v>
      </c>
      <c r="H47" s="41" t="s">
        <v>74</v>
      </c>
      <c r="I47" s="42" t="s">
        <v>51</v>
      </c>
      <c r="J47" s="42"/>
      <c r="K47" s="41">
        <v>170</v>
      </c>
      <c r="L47" s="41" t="str">
        <f>"190,1562"</f>
        <v>190,1562</v>
      </c>
      <c r="M47" s="41"/>
    </row>
    <row r="49" spans="1:12" ht="15">
      <c r="A49" s="51" t="s">
        <v>107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</row>
    <row r="50" spans="1:13" ht="12.75">
      <c r="A50" s="35" t="s">
        <v>662</v>
      </c>
      <c r="B50" s="35" t="s">
        <v>663</v>
      </c>
      <c r="C50" s="35" t="s">
        <v>664</v>
      </c>
      <c r="D50" s="35" t="str">
        <f>"0,5465"</f>
        <v>0,5465</v>
      </c>
      <c r="E50" s="35" t="s">
        <v>44</v>
      </c>
      <c r="F50" s="35" t="s">
        <v>197</v>
      </c>
      <c r="G50" s="35" t="s">
        <v>656</v>
      </c>
      <c r="H50" s="35" t="s">
        <v>92</v>
      </c>
      <c r="I50" s="36" t="s">
        <v>116</v>
      </c>
      <c r="J50" s="36"/>
      <c r="K50" s="35">
        <v>300</v>
      </c>
      <c r="L50" s="35" t="str">
        <f>"163,9500"</f>
        <v>163,9500</v>
      </c>
      <c r="M50" s="35"/>
    </row>
    <row r="52" spans="1:12" ht="15">
      <c r="A52" s="51" t="s">
        <v>328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</row>
    <row r="53" spans="1:13" ht="12.75">
      <c r="A53" s="37" t="s">
        <v>665</v>
      </c>
      <c r="B53" s="37" t="s">
        <v>666</v>
      </c>
      <c r="C53" s="37" t="s">
        <v>667</v>
      </c>
      <c r="D53" s="37" t="str">
        <f>"0,5042"</f>
        <v>0,5042</v>
      </c>
      <c r="E53" s="37" t="s">
        <v>44</v>
      </c>
      <c r="F53" s="37" t="s">
        <v>661</v>
      </c>
      <c r="G53" s="37" t="s">
        <v>668</v>
      </c>
      <c r="H53" s="37" t="s">
        <v>92</v>
      </c>
      <c r="I53" s="37" t="s">
        <v>644</v>
      </c>
      <c r="J53" s="38"/>
      <c r="K53" s="37">
        <v>305</v>
      </c>
      <c r="L53" s="37" t="str">
        <f>"153,7688"</f>
        <v>153,7688</v>
      </c>
      <c r="M53" s="37"/>
    </row>
    <row r="54" spans="1:13" ht="12.75">
      <c r="A54" s="41" t="s">
        <v>665</v>
      </c>
      <c r="B54" s="41" t="s">
        <v>669</v>
      </c>
      <c r="C54" s="41" t="s">
        <v>667</v>
      </c>
      <c r="D54" s="41" t="str">
        <f>"0,5284"</f>
        <v>0,5284</v>
      </c>
      <c r="E54" s="41" t="s">
        <v>44</v>
      </c>
      <c r="F54" s="41" t="s">
        <v>661</v>
      </c>
      <c r="G54" s="41" t="s">
        <v>668</v>
      </c>
      <c r="H54" s="41" t="s">
        <v>92</v>
      </c>
      <c r="I54" s="41" t="s">
        <v>644</v>
      </c>
      <c r="J54" s="42"/>
      <c r="K54" s="41">
        <v>305</v>
      </c>
      <c r="L54" s="41" t="str">
        <f>"161,1497"</f>
        <v>161,1497</v>
      </c>
      <c r="M54" s="41"/>
    </row>
    <row r="56" ht="15">
      <c r="E56" s="43" t="s">
        <v>118</v>
      </c>
    </row>
    <row r="57" ht="15">
      <c r="E57" s="43" t="s">
        <v>119</v>
      </c>
    </row>
    <row r="58" ht="15">
      <c r="E58" s="43" t="s">
        <v>120</v>
      </c>
    </row>
    <row r="59" ht="12.75">
      <c r="E59" s="34" t="s">
        <v>121</v>
      </c>
    </row>
    <row r="60" ht="12.75">
      <c r="E60" s="34" t="s">
        <v>122</v>
      </c>
    </row>
    <row r="61" ht="12.75">
      <c r="E61" s="34" t="s">
        <v>123</v>
      </c>
    </row>
    <row r="64" spans="1:2" ht="18">
      <c r="A64" s="44" t="s">
        <v>124</v>
      </c>
      <c r="B64" s="44"/>
    </row>
    <row r="65" spans="1:2" ht="15">
      <c r="A65" s="45" t="s">
        <v>125</v>
      </c>
      <c r="B65" s="45"/>
    </row>
    <row r="66" spans="1:2" ht="14.25">
      <c r="A66" s="47" t="s">
        <v>126</v>
      </c>
      <c r="B66" s="48"/>
    </row>
    <row r="67" spans="1:5" ht="15">
      <c r="A67" s="49" t="s">
        <v>0</v>
      </c>
      <c r="B67" s="49" t="s">
        <v>127</v>
      </c>
      <c r="C67" s="49" t="s">
        <v>128</v>
      </c>
      <c r="D67" s="49" t="s">
        <v>7</v>
      </c>
      <c r="E67" s="49" t="s">
        <v>129</v>
      </c>
    </row>
    <row r="68" spans="1:5" ht="12.75">
      <c r="A68" s="46" t="s">
        <v>624</v>
      </c>
      <c r="B68" s="34" t="s">
        <v>126</v>
      </c>
      <c r="C68" s="34" t="s">
        <v>278</v>
      </c>
      <c r="D68" s="34" t="s">
        <v>77</v>
      </c>
      <c r="E68" s="50" t="s">
        <v>670</v>
      </c>
    </row>
    <row r="69" spans="1:5" ht="12.75">
      <c r="A69" s="46" t="s">
        <v>41</v>
      </c>
      <c r="B69" s="34" t="s">
        <v>126</v>
      </c>
      <c r="C69" s="34" t="s">
        <v>130</v>
      </c>
      <c r="D69" s="34" t="s">
        <v>52</v>
      </c>
      <c r="E69" s="50" t="s">
        <v>671</v>
      </c>
    </row>
    <row r="70" spans="1:5" ht="12.75">
      <c r="A70" s="46" t="s">
        <v>14</v>
      </c>
      <c r="B70" s="34" t="s">
        <v>126</v>
      </c>
      <c r="C70" s="34" t="s">
        <v>140</v>
      </c>
      <c r="D70" s="34" t="s">
        <v>26</v>
      </c>
      <c r="E70" s="50" t="s">
        <v>672</v>
      </c>
    </row>
    <row r="71" spans="1:5" ht="12.75">
      <c r="A71" s="46" t="s">
        <v>621</v>
      </c>
      <c r="B71" s="34" t="s">
        <v>126</v>
      </c>
      <c r="C71" s="34" t="s">
        <v>130</v>
      </c>
      <c r="D71" s="34" t="s">
        <v>321</v>
      </c>
      <c r="E71" s="50" t="s">
        <v>673</v>
      </c>
    </row>
    <row r="72" spans="1:5" ht="12.75">
      <c r="A72" s="46" t="s">
        <v>36</v>
      </c>
      <c r="B72" s="34" t="s">
        <v>126</v>
      </c>
      <c r="C72" s="34" t="s">
        <v>136</v>
      </c>
      <c r="D72" s="34" t="s">
        <v>26</v>
      </c>
      <c r="E72" s="50" t="s">
        <v>674</v>
      </c>
    </row>
    <row r="74" spans="1:2" ht="14.25">
      <c r="A74" s="47" t="s">
        <v>138</v>
      </c>
      <c r="B74" s="48"/>
    </row>
    <row r="75" spans="1:5" ht="15">
      <c r="A75" s="49" t="s">
        <v>0</v>
      </c>
      <c r="B75" s="49" t="s">
        <v>127</v>
      </c>
      <c r="C75" s="49" t="s">
        <v>128</v>
      </c>
      <c r="D75" s="49" t="s">
        <v>7</v>
      </c>
      <c r="E75" s="49" t="s">
        <v>129</v>
      </c>
    </row>
    <row r="76" spans="1:5" ht="12.75">
      <c r="A76" s="46" t="s">
        <v>14</v>
      </c>
      <c r="B76" s="34" t="s">
        <v>139</v>
      </c>
      <c r="C76" s="34" t="s">
        <v>140</v>
      </c>
      <c r="D76" s="34" t="s">
        <v>26</v>
      </c>
      <c r="E76" s="50" t="s">
        <v>675</v>
      </c>
    </row>
    <row r="79" spans="1:2" ht="15">
      <c r="A79" s="45" t="s">
        <v>145</v>
      </c>
      <c r="B79" s="45"/>
    </row>
    <row r="80" spans="1:2" ht="14.25">
      <c r="A80" s="47" t="s">
        <v>146</v>
      </c>
      <c r="B80" s="48"/>
    </row>
    <row r="81" spans="1:5" ht="15">
      <c r="A81" s="49" t="s">
        <v>0</v>
      </c>
      <c r="B81" s="49" t="s">
        <v>127</v>
      </c>
      <c r="C81" s="49" t="s">
        <v>128</v>
      </c>
      <c r="D81" s="49" t="s">
        <v>7</v>
      </c>
      <c r="E81" s="49" t="s">
        <v>129</v>
      </c>
    </row>
    <row r="82" spans="1:5" ht="12.75">
      <c r="A82" s="46" t="s">
        <v>636</v>
      </c>
      <c r="B82" s="34" t="s">
        <v>147</v>
      </c>
      <c r="C82" s="34" t="s">
        <v>151</v>
      </c>
      <c r="D82" s="34" t="s">
        <v>91</v>
      </c>
      <c r="E82" s="50" t="s">
        <v>676</v>
      </c>
    </row>
    <row r="83" spans="1:5" ht="12.75">
      <c r="A83" s="46" t="s">
        <v>80</v>
      </c>
      <c r="B83" s="34" t="s">
        <v>147</v>
      </c>
      <c r="C83" s="34" t="s">
        <v>151</v>
      </c>
      <c r="D83" s="34" t="s">
        <v>84</v>
      </c>
      <c r="E83" s="50" t="s">
        <v>677</v>
      </c>
    </row>
    <row r="85" spans="1:2" ht="14.25">
      <c r="A85" s="47" t="s">
        <v>126</v>
      </c>
      <c r="B85" s="48"/>
    </row>
    <row r="86" spans="1:5" ht="15">
      <c r="A86" s="49" t="s">
        <v>0</v>
      </c>
      <c r="B86" s="49" t="s">
        <v>127</v>
      </c>
      <c r="C86" s="49" t="s">
        <v>128</v>
      </c>
      <c r="D86" s="49" t="s">
        <v>7</v>
      </c>
      <c r="E86" s="49" t="s">
        <v>129</v>
      </c>
    </row>
    <row r="87" spans="1:5" ht="12.75">
      <c r="A87" s="46" t="s">
        <v>640</v>
      </c>
      <c r="B87" s="34" t="s">
        <v>126</v>
      </c>
      <c r="C87" s="34" t="s">
        <v>151</v>
      </c>
      <c r="D87" s="34" t="s">
        <v>644</v>
      </c>
      <c r="E87" s="50" t="s">
        <v>678</v>
      </c>
    </row>
    <row r="88" spans="1:5" ht="12.75">
      <c r="A88" s="46" t="s">
        <v>86</v>
      </c>
      <c r="B88" s="34" t="s">
        <v>126</v>
      </c>
      <c r="C88" s="34" t="s">
        <v>151</v>
      </c>
      <c r="D88" s="34" t="s">
        <v>92</v>
      </c>
      <c r="E88" s="50" t="s">
        <v>679</v>
      </c>
    </row>
    <row r="89" spans="1:5" ht="12.75">
      <c r="A89" s="46" t="s">
        <v>627</v>
      </c>
      <c r="B89" s="34" t="s">
        <v>126</v>
      </c>
      <c r="C89" s="34" t="s">
        <v>130</v>
      </c>
      <c r="D89" s="34" t="s">
        <v>77</v>
      </c>
      <c r="E89" s="50" t="s">
        <v>680</v>
      </c>
    </row>
    <row r="90" spans="1:5" ht="12.75">
      <c r="A90" s="46" t="s">
        <v>646</v>
      </c>
      <c r="B90" s="34" t="s">
        <v>126</v>
      </c>
      <c r="C90" s="34" t="s">
        <v>151</v>
      </c>
      <c r="D90" s="34" t="s">
        <v>91</v>
      </c>
      <c r="E90" s="50" t="s">
        <v>681</v>
      </c>
    </row>
    <row r="91" spans="1:5" ht="12.75">
      <c r="A91" s="46" t="s">
        <v>636</v>
      </c>
      <c r="B91" s="34" t="s">
        <v>126</v>
      </c>
      <c r="C91" s="34" t="s">
        <v>151</v>
      </c>
      <c r="D91" s="34" t="s">
        <v>91</v>
      </c>
      <c r="E91" s="50" t="s">
        <v>676</v>
      </c>
    </row>
    <row r="92" spans="1:5" ht="12.75">
      <c r="A92" s="46" t="s">
        <v>662</v>
      </c>
      <c r="B92" s="34" t="s">
        <v>126</v>
      </c>
      <c r="C92" s="34" t="s">
        <v>156</v>
      </c>
      <c r="D92" s="34" t="s">
        <v>92</v>
      </c>
      <c r="E92" s="50" t="s">
        <v>682</v>
      </c>
    </row>
    <row r="93" spans="1:5" ht="12.75">
      <c r="A93" s="46" t="s">
        <v>653</v>
      </c>
      <c r="B93" s="34" t="s">
        <v>126</v>
      </c>
      <c r="C93" s="34" t="s">
        <v>290</v>
      </c>
      <c r="D93" s="34" t="s">
        <v>656</v>
      </c>
      <c r="E93" s="50" t="s">
        <v>683</v>
      </c>
    </row>
    <row r="94" spans="1:5" ht="12.75">
      <c r="A94" s="46" t="s">
        <v>649</v>
      </c>
      <c r="B94" s="34" t="s">
        <v>126</v>
      </c>
      <c r="C94" s="34" t="s">
        <v>151</v>
      </c>
      <c r="D94" s="34" t="s">
        <v>355</v>
      </c>
      <c r="E94" s="50" t="s">
        <v>684</v>
      </c>
    </row>
    <row r="95" spans="1:5" ht="12.75">
      <c r="A95" s="46" t="s">
        <v>97</v>
      </c>
      <c r="B95" s="34" t="s">
        <v>126</v>
      </c>
      <c r="C95" s="34" t="s">
        <v>151</v>
      </c>
      <c r="D95" s="34" t="s">
        <v>355</v>
      </c>
      <c r="E95" s="50" t="s">
        <v>685</v>
      </c>
    </row>
    <row r="96" spans="1:5" ht="12.75">
      <c r="A96" s="46" t="s">
        <v>665</v>
      </c>
      <c r="B96" s="34" t="s">
        <v>126</v>
      </c>
      <c r="C96" s="34" t="s">
        <v>604</v>
      </c>
      <c r="D96" s="34" t="s">
        <v>644</v>
      </c>
      <c r="E96" s="50" t="s">
        <v>686</v>
      </c>
    </row>
    <row r="97" spans="1:5" ht="12.75">
      <c r="A97" s="46" t="s">
        <v>629</v>
      </c>
      <c r="B97" s="34" t="s">
        <v>126</v>
      </c>
      <c r="C97" s="34" t="s">
        <v>148</v>
      </c>
      <c r="D97" s="34" t="s">
        <v>70</v>
      </c>
      <c r="E97" s="50" t="s">
        <v>687</v>
      </c>
    </row>
    <row r="98" spans="1:5" ht="12.75">
      <c r="A98" s="46" t="s">
        <v>633</v>
      </c>
      <c r="B98" s="34" t="s">
        <v>126</v>
      </c>
      <c r="C98" s="34" t="s">
        <v>148</v>
      </c>
      <c r="D98" s="34" t="s">
        <v>70</v>
      </c>
      <c r="E98" s="50" t="s">
        <v>688</v>
      </c>
    </row>
    <row r="100" spans="1:2" ht="14.25">
      <c r="A100" s="47" t="s">
        <v>138</v>
      </c>
      <c r="B100" s="48"/>
    </row>
    <row r="101" spans="1:5" ht="15">
      <c r="A101" s="49" t="s">
        <v>0</v>
      </c>
      <c r="B101" s="49" t="s">
        <v>127</v>
      </c>
      <c r="C101" s="49" t="s">
        <v>128</v>
      </c>
      <c r="D101" s="49" t="s">
        <v>7</v>
      </c>
      <c r="E101" s="49" t="s">
        <v>129</v>
      </c>
    </row>
    <row r="102" spans="1:5" ht="12.75">
      <c r="A102" s="46" t="s">
        <v>202</v>
      </c>
      <c r="B102" s="34" t="s">
        <v>305</v>
      </c>
      <c r="C102" s="34" t="s">
        <v>148</v>
      </c>
      <c r="D102" s="34" t="s">
        <v>51</v>
      </c>
      <c r="E102" s="50" t="s">
        <v>689</v>
      </c>
    </row>
    <row r="103" spans="1:5" ht="12.75">
      <c r="A103" s="46" t="s">
        <v>324</v>
      </c>
      <c r="B103" s="34" t="s">
        <v>606</v>
      </c>
      <c r="C103" s="34" t="s">
        <v>290</v>
      </c>
      <c r="D103" s="34" t="s">
        <v>657</v>
      </c>
      <c r="E103" s="50" t="s">
        <v>690</v>
      </c>
    </row>
    <row r="104" spans="1:5" ht="12.75">
      <c r="A104" s="46" t="s">
        <v>658</v>
      </c>
      <c r="B104" s="34" t="s">
        <v>691</v>
      </c>
      <c r="C104" s="34" t="s">
        <v>290</v>
      </c>
      <c r="D104" s="34" t="s">
        <v>74</v>
      </c>
      <c r="E104" s="50" t="s">
        <v>692</v>
      </c>
    </row>
    <row r="105" spans="1:5" ht="12.75">
      <c r="A105" s="46" t="s">
        <v>665</v>
      </c>
      <c r="B105" s="34" t="s">
        <v>307</v>
      </c>
      <c r="C105" s="34" t="s">
        <v>604</v>
      </c>
      <c r="D105" s="34" t="s">
        <v>644</v>
      </c>
      <c r="E105" s="50" t="s">
        <v>693</v>
      </c>
    </row>
    <row r="106" spans="1:5" ht="12.75">
      <c r="A106" s="46" t="s">
        <v>652</v>
      </c>
      <c r="B106" s="34" t="s">
        <v>160</v>
      </c>
      <c r="C106" s="34" t="s">
        <v>151</v>
      </c>
      <c r="D106" s="34" t="s">
        <v>78</v>
      </c>
      <c r="E106" s="50" t="s">
        <v>694</v>
      </c>
    </row>
    <row r="107" spans="1:5" ht="12.75">
      <c r="A107" s="46" t="s">
        <v>102</v>
      </c>
      <c r="B107" s="34" t="s">
        <v>160</v>
      </c>
      <c r="C107" s="34" t="s">
        <v>151</v>
      </c>
      <c r="D107" s="34" t="s">
        <v>77</v>
      </c>
      <c r="E107" s="50" t="s">
        <v>695</v>
      </c>
    </row>
    <row r="108" spans="1:5" ht="12.75">
      <c r="A108" s="46" t="s">
        <v>243</v>
      </c>
      <c r="B108" s="34" t="s">
        <v>160</v>
      </c>
      <c r="C108" s="34" t="s">
        <v>290</v>
      </c>
      <c r="D108" s="34" t="s">
        <v>212</v>
      </c>
      <c r="E108" s="50" t="s">
        <v>696</v>
      </c>
    </row>
    <row r="109" spans="1:5" ht="12.75">
      <c r="A109" s="46" t="s">
        <v>60</v>
      </c>
      <c r="B109" s="34" t="s">
        <v>160</v>
      </c>
      <c r="C109" s="34" t="s">
        <v>163</v>
      </c>
      <c r="D109" s="34" t="s">
        <v>206</v>
      </c>
      <c r="E109" s="50" t="s">
        <v>697</v>
      </c>
    </row>
  </sheetData>
  <sheetProtection/>
  <mergeCells count="2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A49:L49"/>
    <mergeCell ref="A52:L52"/>
    <mergeCell ref="A16:L16"/>
    <mergeCell ref="A19:L19"/>
    <mergeCell ref="A22:L22"/>
    <mergeCell ref="A25:L25"/>
    <mergeCell ref="A31:L31"/>
    <mergeCell ref="A43:L43"/>
    <mergeCell ref="M3:M4"/>
    <mergeCell ref="A5:L5"/>
    <mergeCell ref="A9:L9"/>
    <mergeCell ref="A12:L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1" width="27.00390625" style="34" bestFit="1" customWidth="1"/>
    <col min="2" max="2" width="26.875" style="34" bestFit="1" customWidth="1"/>
    <col min="3" max="3" width="7.75390625" style="34" bestFit="1" customWidth="1"/>
    <col min="4" max="4" width="6.875" style="34" bestFit="1" customWidth="1"/>
    <col min="5" max="5" width="17.25390625" style="34" bestFit="1" customWidth="1"/>
    <col min="6" max="6" width="7.25390625" style="34" bestFit="1" customWidth="1"/>
    <col min="7" max="8" width="5.625" style="34" bestFit="1" customWidth="1"/>
    <col min="9" max="9" width="2.125" style="34" bestFit="1" customWidth="1"/>
    <col min="10" max="10" width="4.875" style="34" bestFit="1" customWidth="1"/>
    <col min="11" max="13" width="5.625" style="34" bestFit="1" customWidth="1"/>
    <col min="14" max="14" width="4.875" style="34" bestFit="1" customWidth="1"/>
    <col min="15" max="16" width="5.625" style="34" bestFit="1" customWidth="1"/>
    <col min="17" max="17" width="2.125" style="34" bestFit="1" customWidth="1"/>
    <col min="18" max="18" width="4.875" style="34" bestFit="1" customWidth="1"/>
    <col min="19" max="19" width="6.75390625" style="34" bestFit="1" customWidth="1"/>
    <col min="20" max="20" width="8.625" style="34" bestFit="1" customWidth="1"/>
    <col min="21" max="21" width="7.375" style="34" bestFit="1" customWidth="1"/>
  </cols>
  <sheetData>
    <row r="1" spans="1:21" s="1" customFormat="1" ht="32.25" customHeight="1">
      <c r="A1" s="62" t="s">
        <v>769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4"/>
    </row>
    <row r="2" spans="1:21" s="1" customFormat="1" ht="32.25" customHeight="1" thickBo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7"/>
    </row>
    <row r="3" spans="1:21" s="7" customFormat="1" ht="32.25" customHeight="1">
      <c r="A3" s="58" t="s">
        <v>0</v>
      </c>
      <c r="B3" s="69" t="s">
        <v>12</v>
      </c>
      <c r="C3" s="69" t="s">
        <v>11</v>
      </c>
      <c r="D3" s="54" t="s">
        <v>1</v>
      </c>
      <c r="E3" s="54" t="s">
        <v>2</v>
      </c>
      <c r="F3" s="56" t="s">
        <v>3</v>
      </c>
      <c r="G3" s="58" t="s">
        <v>4</v>
      </c>
      <c r="H3" s="54"/>
      <c r="I3" s="54"/>
      <c r="J3" s="59"/>
      <c r="K3" s="58" t="s">
        <v>5</v>
      </c>
      <c r="L3" s="54"/>
      <c r="M3" s="54"/>
      <c r="N3" s="59"/>
      <c r="O3" s="58" t="s">
        <v>6</v>
      </c>
      <c r="P3" s="54"/>
      <c r="Q3" s="54"/>
      <c r="R3" s="59"/>
      <c r="S3" s="52" t="s">
        <v>7</v>
      </c>
      <c r="T3" s="54" t="s">
        <v>9</v>
      </c>
      <c r="U3" s="59" t="s">
        <v>8</v>
      </c>
    </row>
    <row r="4" spans="1:21" s="7" customFormat="1" ht="32.25" customHeight="1" thickBot="1">
      <c r="A4" s="68"/>
      <c r="B4" s="55"/>
      <c r="C4" s="55"/>
      <c r="D4" s="55"/>
      <c r="E4" s="55"/>
      <c r="F4" s="57"/>
      <c r="G4" s="3">
        <v>1</v>
      </c>
      <c r="H4" s="2">
        <v>2</v>
      </c>
      <c r="I4" s="2">
        <v>3</v>
      </c>
      <c r="J4" s="4" t="s">
        <v>10</v>
      </c>
      <c r="K4" s="3">
        <v>1</v>
      </c>
      <c r="L4" s="2">
        <v>2</v>
      </c>
      <c r="M4" s="2">
        <v>3</v>
      </c>
      <c r="N4" s="4" t="s">
        <v>10</v>
      </c>
      <c r="O4" s="3">
        <v>1</v>
      </c>
      <c r="P4" s="2">
        <v>2</v>
      </c>
      <c r="Q4" s="2">
        <v>3</v>
      </c>
      <c r="R4" s="4" t="s">
        <v>10</v>
      </c>
      <c r="S4" s="53"/>
      <c r="T4" s="55"/>
      <c r="U4" s="60"/>
    </row>
    <row r="5" spans="1:20" ht="15">
      <c r="A5" s="61" t="s">
        <v>107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1" ht="12.75">
      <c r="A6" s="35" t="s">
        <v>401</v>
      </c>
      <c r="B6" s="35" t="s">
        <v>402</v>
      </c>
      <c r="C6" s="35" t="s">
        <v>403</v>
      </c>
      <c r="D6" s="35" t="str">
        <f>"0,7736"</f>
        <v>0,7736</v>
      </c>
      <c r="E6" s="35" t="s">
        <v>44</v>
      </c>
      <c r="F6" s="35" t="s">
        <v>197</v>
      </c>
      <c r="G6" s="35" t="s">
        <v>52</v>
      </c>
      <c r="H6" s="35" t="s">
        <v>85</v>
      </c>
      <c r="I6" s="36"/>
      <c r="J6" s="36"/>
      <c r="K6" s="35" t="s">
        <v>24</v>
      </c>
      <c r="L6" s="35" t="s">
        <v>46</v>
      </c>
      <c r="M6" s="35" t="s">
        <v>343</v>
      </c>
      <c r="N6" s="36"/>
      <c r="O6" s="35" t="s">
        <v>74</v>
      </c>
      <c r="P6" s="35" t="s">
        <v>52</v>
      </c>
      <c r="Q6" s="36"/>
      <c r="R6" s="36"/>
      <c r="S6" s="35">
        <v>595</v>
      </c>
      <c r="T6" s="35" t="str">
        <f>"460,3099"</f>
        <v>460,3099</v>
      </c>
      <c r="U6" s="35"/>
    </row>
    <row r="8" ht="15">
      <c r="E8" s="43" t="s">
        <v>118</v>
      </c>
    </row>
    <row r="9" ht="15">
      <c r="E9" s="43" t="s">
        <v>119</v>
      </c>
    </row>
    <row r="10" ht="15">
      <c r="E10" s="43" t="s">
        <v>120</v>
      </c>
    </row>
    <row r="11" ht="12.75">
      <c r="E11" s="34" t="s">
        <v>121</v>
      </c>
    </row>
    <row r="12" ht="12.75">
      <c r="E12" s="34" t="s">
        <v>122</v>
      </c>
    </row>
    <row r="13" ht="12.75">
      <c r="E13" s="34" t="s">
        <v>123</v>
      </c>
    </row>
    <row r="16" spans="1:2" ht="18">
      <c r="A16" s="44" t="s">
        <v>124</v>
      </c>
      <c r="B16" s="44"/>
    </row>
    <row r="17" spans="1:2" ht="15">
      <c r="A17" s="45" t="s">
        <v>145</v>
      </c>
      <c r="B17" s="45"/>
    </row>
    <row r="18" spans="1:2" ht="14.25">
      <c r="A18" s="47" t="s">
        <v>138</v>
      </c>
      <c r="B18" s="48"/>
    </row>
    <row r="19" spans="1:5" ht="15">
      <c r="A19" s="49" t="s">
        <v>0</v>
      </c>
      <c r="B19" s="49" t="s">
        <v>127</v>
      </c>
      <c r="C19" s="49" t="s">
        <v>128</v>
      </c>
      <c r="D19" s="49" t="s">
        <v>7</v>
      </c>
      <c r="E19" s="49" t="s">
        <v>129</v>
      </c>
    </row>
    <row r="20" spans="1:5" ht="12.75">
      <c r="A20" s="46" t="s">
        <v>401</v>
      </c>
      <c r="B20" s="34" t="s">
        <v>303</v>
      </c>
      <c r="C20" s="34" t="s">
        <v>156</v>
      </c>
      <c r="D20" s="34" t="s">
        <v>404</v>
      </c>
      <c r="E20" s="50" t="s">
        <v>405</v>
      </c>
    </row>
  </sheetData>
  <sheetProtection/>
  <mergeCells count="14">
    <mergeCell ref="K3:N3"/>
    <mergeCell ref="O3:R3"/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7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27.00390625" style="34" bestFit="1" customWidth="1"/>
    <col min="2" max="2" width="30.875" style="34" bestFit="1" customWidth="1"/>
    <col min="3" max="3" width="7.75390625" style="34" bestFit="1" customWidth="1"/>
    <col min="4" max="4" width="6.875" style="34" bestFit="1" customWidth="1"/>
    <col min="5" max="5" width="17.25390625" style="34" bestFit="1" customWidth="1"/>
    <col min="6" max="6" width="35.25390625" style="34" bestFit="1" customWidth="1"/>
    <col min="7" max="9" width="5.625" style="34" bestFit="1" customWidth="1"/>
    <col min="10" max="10" width="4.875" style="34" bestFit="1" customWidth="1"/>
    <col min="11" max="11" width="6.75390625" style="34" bestFit="1" customWidth="1"/>
    <col min="12" max="12" width="8.625" style="34" bestFit="1" customWidth="1"/>
    <col min="13" max="13" width="7.375" style="34" bestFit="1" customWidth="1"/>
  </cols>
  <sheetData>
    <row r="1" spans="1:13" s="1" customFormat="1" ht="34.5" customHeight="1">
      <c r="A1" s="62" t="s">
        <v>768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s="1" customFormat="1" ht="34.5" customHeight="1" thickBo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s="7" customFormat="1" ht="34.5" customHeight="1">
      <c r="A3" s="58" t="s">
        <v>0</v>
      </c>
      <c r="B3" s="69" t="s">
        <v>12</v>
      </c>
      <c r="C3" s="69" t="s">
        <v>11</v>
      </c>
      <c r="D3" s="54" t="s">
        <v>1</v>
      </c>
      <c r="E3" s="54" t="s">
        <v>2</v>
      </c>
      <c r="F3" s="56" t="s">
        <v>3</v>
      </c>
      <c r="G3" s="58" t="s">
        <v>5</v>
      </c>
      <c r="H3" s="54"/>
      <c r="I3" s="54"/>
      <c r="J3" s="59"/>
      <c r="K3" s="52" t="s">
        <v>7</v>
      </c>
      <c r="L3" s="54" t="s">
        <v>9</v>
      </c>
      <c r="M3" s="59" t="s">
        <v>8</v>
      </c>
    </row>
    <row r="4" spans="1:13" s="7" customFormat="1" ht="34.5" customHeight="1" thickBot="1">
      <c r="A4" s="68"/>
      <c r="B4" s="55"/>
      <c r="C4" s="55"/>
      <c r="D4" s="55"/>
      <c r="E4" s="55"/>
      <c r="F4" s="57"/>
      <c r="G4" s="3">
        <v>1</v>
      </c>
      <c r="H4" s="2">
        <v>2</v>
      </c>
      <c r="I4" s="2">
        <v>3</v>
      </c>
      <c r="J4" s="4" t="s">
        <v>10</v>
      </c>
      <c r="K4" s="53"/>
      <c r="L4" s="55"/>
      <c r="M4" s="60"/>
    </row>
    <row r="5" spans="1:12" ht="15">
      <c r="A5" s="61" t="s">
        <v>59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3" ht="12.75">
      <c r="A6" s="35" t="s">
        <v>406</v>
      </c>
      <c r="B6" s="35" t="s">
        <v>407</v>
      </c>
      <c r="C6" s="35" t="s">
        <v>408</v>
      </c>
      <c r="D6" s="35" t="str">
        <f>"0,9888"</f>
        <v>0,9888</v>
      </c>
      <c r="E6" s="35" t="s">
        <v>44</v>
      </c>
      <c r="F6" s="35" t="s">
        <v>409</v>
      </c>
      <c r="G6" s="35" t="s">
        <v>23</v>
      </c>
      <c r="H6" s="36" t="s">
        <v>39</v>
      </c>
      <c r="I6" s="36" t="s">
        <v>39</v>
      </c>
      <c r="J6" s="36"/>
      <c r="K6" s="35">
        <v>57.5</v>
      </c>
      <c r="L6" s="35" t="str">
        <f>"56,8560"</f>
        <v>56,8560</v>
      </c>
      <c r="M6" s="35"/>
    </row>
    <row r="8" spans="1:12" ht="15">
      <c r="A8" s="51" t="s">
        <v>166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3" ht="12.75">
      <c r="A9" s="37" t="s">
        <v>410</v>
      </c>
      <c r="B9" s="37" t="s">
        <v>411</v>
      </c>
      <c r="C9" s="37" t="s">
        <v>412</v>
      </c>
      <c r="D9" s="37" t="str">
        <f>"0,9153"</f>
        <v>0,9153</v>
      </c>
      <c r="E9" s="37" t="s">
        <v>44</v>
      </c>
      <c r="F9" s="37" t="s">
        <v>413</v>
      </c>
      <c r="G9" s="37" t="s">
        <v>414</v>
      </c>
      <c r="H9" s="37" t="s">
        <v>49</v>
      </c>
      <c r="I9" s="37" t="s">
        <v>201</v>
      </c>
      <c r="J9" s="38"/>
      <c r="K9" s="37">
        <v>82.5</v>
      </c>
      <c r="L9" s="37" t="str">
        <f>"75,5123"</f>
        <v>75,5123</v>
      </c>
      <c r="M9" s="37"/>
    </row>
    <row r="10" spans="1:13" ht="12.75">
      <c r="A10" s="39" t="s">
        <v>415</v>
      </c>
      <c r="B10" s="39" t="s">
        <v>416</v>
      </c>
      <c r="C10" s="39" t="s">
        <v>417</v>
      </c>
      <c r="D10" s="39" t="str">
        <f>"0,9235"</f>
        <v>0,9235</v>
      </c>
      <c r="E10" s="39" t="s">
        <v>44</v>
      </c>
      <c r="F10" s="39" t="s">
        <v>197</v>
      </c>
      <c r="G10" s="39" t="s">
        <v>58</v>
      </c>
      <c r="H10" s="39" t="s">
        <v>336</v>
      </c>
      <c r="I10" s="40" t="s">
        <v>31</v>
      </c>
      <c r="J10" s="40"/>
      <c r="K10" s="39">
        <v>67.5</v>
      </c>
      <c r="L10" s="39" t="str">
        <f>"62,3363"</f>
        <v>62,3363</v>
      </c>
      <c r="M10" s="39"/>
    </row>
    <row r="11" spans="1:13" ht="12.75">
      <c r="A11" s="41" t="s">
        <v>418</v>
      </c>
      <c r="B11" s="41" t="s">
        <v>419</v>
      </c>
      <c r="C11" s="41" t="s">
        <v>420</v>
      </c>
      <c r="D11" s="41" t="str">
        <f>"0,9208"</f>
        <v>0,9208</v>
      </c>
      <c r="E11" s="41" t="s">
        <v>44</v>
      </c>
      <c r="F11" s="41" t="s">
        <v>421</v>
      </c>
      <c r="G11" s="41" t="s">
        <v>22</v>
      </c>
      <c r="H11" s="42" t="s">
        <v>39</v>
      </c>
      <c r="I11" s="42" t="s">
        <v>57</v>
      </c>
      <c r="J11" s="42"/>
      <c r="K11" s="41">
        <v>55</v>
      </c>
      <c r="L11" s="41" t="str">
        <f>"50,6440"</f>
        <v>50,6440</v>
      </c>
      <c r="M11" s="41"/>
    </row>
    <row r="13" spans="1:12" ht="15">
      <c r="A13" s="51" t="s">
        <v>35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</row>
    <row r="14" spans="1:13" ht="12.75">
      <c r="A14" s="37" t="s">
        <v>422</v>
      </c>
      <c r="B14" s="37" t="s">
        <v>423</v>
      </c>
      <c r="C14" s="37" t="s">
        <v>424</v>
      </c>
      <c r="D14" s="37" t="str">
        <f>"0,8688"</f>
        <v>0,8688</v>
      </c>
      <c r="E14" s="37" t="s">
        <v>44</v>
      </c>
      <c r="F14" s="37" t="s">
        <v>421</v>
      </c>
      <c r="G14" s="37" t="s">
        <v>58</v>
      </c>
      <c r="H14" s="37" t="s">
        <v>336</v>
      </c>
      <c r="I14" s="38" t="s">
        <v>31</v>
      </c>
      <c r="J14" s="38"/>
      <c r="K14" s="37">
        <v>67.5</v>
      </c>
      <c r="L14" s="37" t="str">
        <f>"58,6440"</f>
        <v>58,6440</v>
      </c>
      <c r="M14" s="37"/>
    </row>
    <row r="15" spans="1:13" ht="12.75">
      <c r="A15" s="41" t="s">
        <v>425</v>
      </c>
      <c r="B15" s="41" t="s">
        <v>426</v>
      </c>
      <c r="C15" s="41" t="s">
        <v>427</v>
      </c>
      <c r="D15" s="41" t="str">
        <f>"0,8788"</f>
        <v>0,8788</v>
      </c>
      <c r="E15" s="41" t="s">
        <v>44</v>
      </c>
      <c r="F15" s="41" t="s">
        <v>197</v>
      </c>
      <c r="G15" s="41" t="s">
        <v>323</v>
      </c>
      <c r="H15" s="41" t="s">
        <v>23</v>
      </c>
      <c r="I15" s="41" t="s">
        <v>39</v>
      </c>
      <c r="J15" s="42"/>
      <c r="K15" s="41">
        <v>60</v>
      </c>
      <c r="L15" s="41" t="str">
        <f>"52,7280"</f>
        <v>52,7280</v>
      </c>
      <c r="M15" s="41"/>
    </row>
    <row r="17" spans="1:12" ht="15">
      <c r="A17" s="51" t="s">
        <v>40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</row>
    <row r="18" spans="1:13" ht="12.75">
      <c r="A18" s="35" t="s">
        <v>428</v>
      </c>
      <c r="B18" s="35" t="s">
        <v>429</v>
      </c>
      <c r="C18" s="35" t="s">
        <v>430</v>
      </c>
      <c r="D18" s="35" t="str">
        <f>"0,8520"</f>
        <v>0,8520</v>
      </c>
      <c r="E18" s="35" t="s">
        <v>431</v>
      </c>
      <c r="F18" s="35" t="s">
        <v>432</v>
      </c>
      <c r="G18" s="35" t="s">
        <v>335</v>
      </c>
      <c r="H18" s="35" t="s">
        <v>178</v>
      </c>
      <c r="I18" s="36" t="s">
        <v>433</v>
      </c>
      <c r="J18" s="36"/>
      <c r="K18" s="35">
        <v>95</v>
      </c>
      <c r="L18" s="35" t="str">
        <f>"80,9400"</f>
        <v>80,9400</v>
      </c>
      <c r="M18" s="35"/>
    </row>
    <row r="20" spans="1:12" ht="15">
      <c r="A20" s="51" t="s">
        <v>174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</row>
    <row r="21" spans="1:13" ht="12.75">
      <c r="A21" s="35" t="s">
        <v>434</v>
      </c>
      <c r="B21" s="35" t="s">
        <v>435</v>
      </c>
      <c r="C21" s="35" t="s">
        <v>436</v>
      </c>
      <c r="D21" s="35" t="str">
        <f>"0,7336"</f>
        <v>0,7336</v>
      </c>
      <c r="E21" s="35" t="s">
        <v>111</v>
      </c>
      <c r="F21" s="35" t="s">
        <v>437</v>
      </c>
      <c r="G21" s="36" t="s">
        <v>58</v>
      </c>
      <c r="H21" s="35" t="s">
        <v>58</v>
      </c>
      <c r="I21" s="36" t="s">
        <v>31</v>
      </c>
      <c r="J21" s="36"/>
      <c r="K21" s="35">
        <v>65</v>
      </c>
      <c r="L21" s="35" t="str">
        <f>"47,6840"</f>
        <v>47,6840</v>
      </c>
      <c r="M21" s="35"/>
    </row>
    <row r="23" spans="1:12" ht="15">
      <c r="A23" s="51" t="s">
        <v>438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</row>
    <row r="24" spans="1:13" ht="12.75">
      <c r="A24" s="35" t="s">
        <v>439</v>
      </c>
      <c r="B24" s="35" t="s">
        <v>440</v>
      </c>
      <c r="C24" s="35" t="s">
        <v>441</v>
      </c>
      <c r="D24" s="35" t="str">
        <f>"0,6223"</f>
        <v>0,6223</v>
      </c>
      <c r="E24" s="35" t="s">
        <v>44</v>
      </c>
      <c r="F24" s="35" t="s">
        <v>197</v>
      </c>
      <c r="G24" s="35" t="s">
        <v>58</v>
      </c>
      <c r="H24" s="35" t="s">
        <v>31</v>
      </c>
      <c r="I24" s="35" t="s">
        <v>414</v>
      </c>
      <c r="J24" s="36"/>
      <c r="K24" s="35">
        <v>72.5</v>
      </c>
      <c r="L24" s="35" t="str">
        <f>"45,1168"</f>
        <v>45,1168</v>
      </c>
      <c r="M24" s="35"/>
    </row>
    <row r="26" spans="1:12" ht="15">
      <c r="A26" s="51" t="s">
        <v>59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</row>
    <row r="27" spans="1:13" ht="12.75">
      <c r="A27" s="37" t="s">
        <v>442</v>
      </c>
      <c r="B27" s="37" t="s">
        <v>443</v>
      </c>
      <c r="C27" s="37" t="s">
        <v>62</v>
      </c>
      <c r="D27" s="37" t="str">
        <f>"0,9690"</f>
        <v>0,9690</v>
      </c>
      <c r="E27" s="37" t="s">
        <v>44</v>
      </c>
      <c r="F27" s="37" t="s">
        <v>197</v>
      </c>
      <c r="G27" s="37" t="s">
        <v>433</v>
      </c>
      <c r="H27" s="37" t="s">
        <v>444</v>
      </c>
      <c r="I27" s="38" t="s">
        <v>445</v>
      </c>
      <c r="J27" s="38"/>
      <c r="K27" s="37">
        <v>102.5</v>
      </c>
      <c r="L27" s="37" t="str">
        <f>"99,3225"</f>
        <v>99,3225</v>
      </c>
      <c r="M27" s="37"/>
    </row>
    <row r="28" spans="1:13" ht="12.75">
      <c r="A28" s="41" t="s">
        <v>446</v>
      </c>
      <c r="B28" s="41" t="s">
        <v>447</v>
      </c>
      <c r="C28" s="41" t="s">
        <v>448</v>
      </c>
      <c r="D28" s="41" t="str">
        <f>"0,9734"</f>
        <v>0,9734</v>
      </c>
      <c r="E28" s="41" t="s">
        <v>44</v>
      </c>
      <c r="F28" s="41" t="s">
        <v>449</v>
      </c>
      <c r="G28" s="42" t="s">
        <v>201</v>
      </c>
      <c r="H28" s="42" t="s">
        <v>201</v>
      </c>
      <c r="I28" s="42" t="s">
        <v>201</v>
      </c>
      <c r="J28" s="42"/>
      <c r="K28" s="41">
        <v>0</v>
      </c>
      <c r="L28" s="41" t="str">
        <f>"0,0000"</f>
        <v>0,0000</v>
      </c>
      <c r="M28" s="41"/>
    </row>
    <row r="30" spans="1:12" ht="15">
      <c r="A30" s="51" t="s">
        <v>166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</row>
    <row r="31" spans="1:13" ht="12.75">
      <c r="A31" s="35" t="s">
        <v>450</v>
      </c>
      <c r="B31" s="35" t="s">
        <v>451</v>
      </c>
      <c r="C31" s="35" t="s">
        <v>417</v>
      </c>
      <c r="D31" s="35" t="str">
        <f>"0,8906"</f>
        <v>0,8906</v>
      </c>
      <c r="E31" s="35" t="s">
        <v>17</v>
      </c>
      <c r="F31" s="35" t="s">
        <v>17</v>
      </c>
      <c r="G31" s="36" t="s">
        <v>178</v>
      </c>
      <c r="H31" s="35" t="s">
        <v>178</v>
      </c>
      <c r="I31" s="36" t="s">
        <v>444</v>
      </c>
      <c r="J31" s="36"/>
      <c r="K31" s="35">
        <v>95</v>
      </c>
      <c r="L31" s="35" t="str">
        <f>"84,6070"</f>
        <v>84,6070</v>
      </c>
      <c r="M31" s="35"/>
    </row>
    <row r="33" spans="1:12" ht="15">
      <c r="A33" s="51" t="s">
        <v>35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</row>
    <row r="34" spans="1:13" ht="12.75">
      <c r="A34" s="35" t="s">
        <v>452</v>
      </c>
      <c r="B34" s="35" t="s">
        <v>453</v>
      </c>
      <c r="C34" s="35" t="s">
        <v>454</v>
      </c>
      <c r="D34" s="35" t="str">
        <f>"0,8271"</f>
        <v>0,8271</v>
      </c>
      <c r="E34" s="35" t="s">
        <v>44</v>
      </c>
      <c r="F34" s="35" t="s">
        <v>197</v>
      </c>
      <c r="G34" s="35" t="s">
        <v>24</v>
      </c>
      <c r="H34" s="35" t="s">
        <v>455</v>
      </c>
      <c r="I34" s="35" t="s">
        <v>26</v>
      </c>
      <c r="J34" s="36"/>
      <c r="K34" s="35">
        <v>130</v>
      </c>
      <c r="L34" s="35" t="str">
        <f>"107,5230"</f>
        <v>107,5230</v>
      </c>
      <c r="M34" s="35"/>
    </row>
    <row r="36" spans="1:12" ht="15">
      <c r="A36" s="51" t="s">
        <v>40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</row>
    <row r="37" spans="1:13" ht="12.75">
      <c r="A37" s="37" t="s">
        <v>456</v>
      </c>
      <c r="B37" s="37" t="s">
        <v>457</v>
      </c>
      <c r="C37" s="37" t="s">
        <v>172</v>
      </c>
      <c r="D37" s="37" t="str">
        <f>"0,7337"</f>
        <v>0,7337</v>
      </c>
      <c r="E37" s="37" t="s">
        <v>44</v>
      </c>
      <c r="F37" s="37" t="s">
        <v>458</v>
      </c>
      <c r="G37" s="37" t="s">
        <v>83</v>
      </c>
      <c r="H37" s="37" t="s">
        <v>69</v>
      </c>
      <c r="I37" s="37" t="s">
        <v>247</v>
      </c>
      <c r="J37" s="38"/>
      <c r="K37" s="37">
        <v>145</v>
      </c>
      <c r="L37" s="37" t="str">
        <f>"106,3865"</f>
        <v>106,3865</v>
      </c>
      <c r="M37" s="37"/>
    </row>
    <row r="38" spans="1:13" ht="12.75">
      <c r="A38" s="41" t="s">
        <v>459</v>
      </c>
      <c r="B38" s="41" t="s">
        <v>460</v>
      </c>
      <c r="C38" s="41" t="s">
        <v>461</v>
      </c>
      <c r="D38" s="41" t="str">
        <f>"0,7439"</f>
        <v>0,7439</v>
      </c>
      <c r="E38" s="41" t="s">
        <v>44</v>
      </c>
      <c r="F38" s="41" t="s">
        <v>197</v>
      </c>
      <c r="G38" s="42" t="s">
        <v>433</v>
      </c>
      <c r="H38" s="42" t="s">
        <v>433</v>
      </c>
      <c r="I38" s="42" t="s">
        <v>433</v>
      </c>
      <c r="J38" s="42"/>
      <c r="K38" s="41">
        <v>0</v>
      </c>
      <c r="L38" s="41" t="str">
        <f>"0,0000"</f>
        <v>0,0000</v>
      </c>
      <c r="M38" s="41"/>
    </row>
    <row r="40" spans="1:12" ht="15">
      <c r="A40" s="51" t="s">
        <v>174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</row>
    <row r="41" spans="1:13" ht="12.75">
      <c r="A41" s="37" t="s">
        <v>462</v>
      </c>
      <c r="B41" s="37" t="s">
        <v>463</v>
      </c>
      <c r="C41" s="37" t="s">
        <v>196</v>
      </c>
      <c r="D41" s="37" t="str">
        <f>"0,6645"</f>
        <v>0,6645</v>
      </c>
      <c r="E41" s="37" t="s">
        <v>44</v>
      </c>
      <c r="F41" s="37" t="s">
        <v>464</v>
      </c>
      <c r="G41" s="37" t="s">
        <v>25</v>
      </c>
      <c r="H41" s="38" t="s">
        <v>26</v>
      </c>
      <c r="I41" s="38" t="s">
        <v>26</v>
      </c>
      <c r="J41" s="38"/>
      <c r="K41" s="37">
        <v>125</v>
      </c>
      <c r="L41" s="37" t="str">
        <f>"83,0625"</f>
        <v>83,0625</v>
      </c>
      <c r="M41" s="37"/>
    </row>
    <row r="42" spans="1:13" ht="12.75">
      <c r="A42" s="39" t="s">
        <v>465</v>
      </c>
      <c r="B42" s="39" t="s">
        <v>466</v>
      </c>
      <c r="C42" s="39" t="s">
        <v>467</v>
      </c>
      <c r="D42" s="39" t="str">
        <f>"0,6851"</f>
        <v>0,6851</v>
      </c>
      <c r="E42" s="39" t="s">
        <v>44</v>
      </c>
      <c r="F42" s="39" t="s">
        <v>413</v>
      </c>
      <c r="G42" s="39" t="s">
        <v>58</v>
      </c>
      <c r="H42" s="39" t="s">
        <v>31</v>
      </c>
      <c r="I42" s="39" t="s">
        <v>48</v>
      </c>
      <c r="J42" s="40"/>
      <c r="K42" s="39">
        <v>75</v>
      </c>
      <c r="L42" s="39" t="str">
        <f>"51,3825"</f>
        <v>51,3825</v>
      </c>
      <c r="M42" s="39"/>
    </row>
    <row r="43" spans="1:13" ht="12.75">
      <c r="A43" s="39" t="s">
        <v>468</v>
      </c>
      <c r="B43" s="39" t="s">
        <v>469</v>
      </c>
      <c r="C43" s="39" t="s">
        <v>196</v>
      </c>
      <c r="D43" s="39" t="str">
        <f>"0,6645"</f>
        <v>0,6645</v>
      </c>
      <c r="E43" s="39" t="s">
        <v>44</v>
      </c>
      <c r="F43" s="39" t="s">
        <v>197</v>
      </c>
      <c r="G43" s="39" t="s">
        <v>201</v>
      </c>
      <c r="H43" s="40" t="s">
        <v>33</v>
      </c>
      <c r="I43" s="40" t="s">
        <v>33</v>
      </c>
      <c r="J43" s="40"/>
      <c r="K43" s="39">
        <v>82.5</v>
      </c>
      <c r="L43" s="39" t="str">
        <f>"54,8212"</f>
        <v>54,8212</v>
      </c>
      <c r="M43" s="39"/>
    </row>
    <row r="44" spans="1:13" ht="12.75">
      <c r="A44" s="39" t="s">
        <v>470</v>
      </c>
      <c r="B44" s="39" t="s">
        <v>471</v>
      </c>
      <c r="C44" s="39" t="s">
        <v>472</v>
      </c>
      <c r="D44" s="39" t="str">
        <f>"0,6782"</f>
        <v>0,6782</v>
      </c>
      <c r="E44" s="39" t="s">
        <v>44</v>
      </c>
      <c r="F44" s="39" t="s">
        <v>473</v>
      </c>
      <c r="G44" s="40" t="s">
        <v>24</v>
      </c>
      <c r="H44" s="40" t="s">
        <v>83</v>
      </c>
      <c r="I44" s="39" t="s">
        <v>83</v>
      </c>
      <c r="J44" s="40"/>
      <c r="K44" s="39">
        <v>135</v>
      </c>
      <c r="L44" s="39" t="str">
        <f>"91,5570"</f>
        <v>91,5570</v>
      </c>
      <c r="M44" s="39"/>
    </row>
    <row r="45" spans="1:13" ht="12.75">
      <c r="A45" s="39" t="s">
        <v>474</v>
      </c>
      <c r="B45" s="39" t="s">
        <v>475</v>
      </c>
      <c r="C45" s="39" t="s">
        <v>476</v>
      </c>
      <c r="D45" s="39" t="str">
        <f>"0,6835"</f>
        <v>0,6835</v>
      </c>
      <c r="E45" s="39" t="s">
        <v>44</v>
      </c>
      <c r="F45" s="39" t="s">
        <v>197</v>
      </c>
      <c r="G45" s="40" t="s">
        <v>414</v>
      </c>
      <c r="H45" s="40"/>
      <c r="I45" s="40"/>
      <c r="J45" s="40"/>
      <c r="K45" s="39">
        <v>0</v>
      </c>
      <c r="L45" s="39" t="str">
        <f>"0,0000"</f>
        <v>0,0000</v>
      </c>
      <c r="M45" s="39"/>
    </row>
    <row r="46" spans="1:13" ht="12.75">
      <c r="A46" s="41" t="s">
        <v>477</v>
      </c>
      <c r="B46" s="41" t="s">
        <v>478</v>
      </c>
      <c r="C46" s="41" t="s">
        <v>479</v>
      </c>
      <c r="D46" s="41" t="str">
        <f>"0,6733"</f>
        <v>0,6733</v>
      </c>
      <c r="E46" s="41" t="s">
        <v>480</v>
      </c>
      <c r="F46" s="41" t="s">
        <v>197</v>
      </c>
      <c r="G46" s="41" t="s">
        <v>26</v>
      </c>
      <c r="H46" s="41" t="s">
        <v>481</v>
      </c>
      <c r="I46" s="41" t="s">
        <v>83</v>
      </c>
      <c r="J46" s="42"/>
      <c r="K46" s="41">
        <v>135</v>
      </c>
      <c r="L46" s="41" t="str">
        <f>"90,8963"</f>
        <v>90,8963</v>
      </c>
      <c r="M46" s="41"/>
    </row>
    <row r="48" spans="1:12" ht="15">
      <c r="A48" s="51" t="s">
        <v>63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</row>
    <row r="49" spans="1:13" ht="12.75">
      <c r="A49" s="35" t="s">
        <v>482</v>
      </c>
      <c r="B49" s="35" t="s">
        <v>483</v>
      </c>
      <c r="C49" s="35" t="s">
        <v>484</v>
      </c>
      <c r="D49" s="35" t="str">
        <f>"0,6219"</f>
        <v>0,6219</v>
      </c>
      <c r="E49" s="35" t="s">
        <v>44</v>
      </c>
      <c r="F49" s="35" t="s">
        <v>197</v>
      </c>
      <c r="G49" s="36" t="s">
        <v>69</v>
      </c>
      <c r="H49" s="36"/>
      <c r="I49" s="36"/>
      <c r="J49" s="36"/>
      <c r="K49" s="35">
        <v>0</v>
      </c>
      <c r="L49" s="35" t="str">
        <f>"0,0000"</f>
        <v>0,0000</v>
      </c>
      <c r="M49" s="35"/>
    </row>
    <row r="51" spans="1:12" ht="15">
      <c r="A51" s="51" t="s">
        <v>79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</row>
    <row r="52" spans="1:13" ht="12.75">
      <c r="A52" s="37" t="s">
        <v>485</v>
      </c>
      <c r="B52" s="37" t="s">
        <v>486</v>
      </c>
      <c r="C52" s="37" t="s">
        <v>487</v>
      </c>
      <c r="D52" s="37" t="str">
        <f>"0,6064"</f>
        <v>0,6064</v>
      </c>
      <c r="E52" s="37" t="s">
        <v>44</v>
      </c>
      <c r="F52" s="37" t="s">
        <v>197</v>
      </c>
      <c r="G52" s="38" t="s">
        <v>20</v>
      </c>
      <c r="H52" s="37" t="s">
        <v>20</v>
      </c>
      <c r="I52" s="37" t="s">
        <v>24</v>
      </c>
      <c r="J52" s="38"/>
      <c r="K52" s="37">
        <v>120</v>
      </c>
      <c r="L52" s="37" t="str">
        <f>"72,7680"</f>
        <v>72,7680</v>
      </c>
      <c r="M52" s="37"/>
    </row>
    <row r="53" spans="1:13" ht="12.75">
      <c r="A53" s="39" t="s">
        <v>488</v>
      </c>
      <c r="B53" s="39" t="s">
        <v>489</v>
      </c>
      <c r="C53" s="39" t="s">
        <v>219</v>
      </c>
      <c r="D53" s="39" t="str">
        <f>"0,5893"</f>
        <v>0,5893</v>
      </c>
      <c r="E53" s="39" t="s">
        <v>44</v>
      </c>
      <c r="F53" s="39" t="s">
        <v>490</v>
      </c>
      <c r="G53" s="40" t="s">
        <v>69</v>
      </c>
      <c r="H53" s="40" t="s">
        <v>69</v>
      </c>
      <c r="I53" s="39" t="s">
        <v>69</v>
      </c>
      <c r="J53" s="40"/>
      <c r="K53" s="39">
        <v>140</v>
      </c>
      <c r="L53" s="39" t="str">
        <f>"82,5020"</f>
        <v>82,5020</v>
      </c>
      <c r="M53" s="39"/>
    </row>
    <row r="54" spans="1:13" ht="12.75">
      <c r="A54" s="39" t="s">
        <v>491</v>
      </c>
      <c r="B54" s="39" t="s">
        <v>492</v>
      </c>
      <c r="C54" s="39" t="s">
        <v>219</v>
      </c>
      <c r="D54" s="39" t="str">
        <f>"0,5893"</f>
        <v>0,5893</v>
      </c>
      <c r="E54" s="39" t="s">
        <v>44</v>
      </c>
      <c r="F54" s="39" t="s">
        <v>197</v>
      </c>
      <c r="G54" s="39" t="s">
        <v>455</v>
      </c>
      <c r="H54" s="40" t="s">
        <v>481</v>
      </c>
      <c r="I54" s="39" t="s">
        <v>481</v>
      </c>
      <c r="J54" s="40"/>
      <c r="K54" s="39">
        <v>132.5</v>
      </c>
      <c r="L54" s="39" t="str">
        <f>"78,0822"</f>
        <v>78,0822</v>
      </c>
      <c r="M54" s="39"/>
    </row>
    <row r="55" spans="1:13" ht="12.75">
      <c r="A55" s="39" t="s">
        <v>493</v>
      </c>
      <c r="B55" s="39" t="s">
        <v>494</v>
      </c>
      <c r="C55" s="39" t="s">
        <v>495</v>
      </c>
      <c r="D55" s="39" t="str">
        <f>"0,6556"</f>
        <v>0,6556</v>
      </c>
      <c r="E55" s="39" t="s">
        <v>44</v>
      </c>
      <c r="F55" s="39" t="s">
        <v>496</v>
      </c>
      <c r="G55" s="40" t="s">
        <v>24</v>
      </c>
      <c r="H55" s="40" t="s">
        <v>481</v>
      </c>
      <c r="I55" s="40"/>
      <c r="J55" s="40"/>
      <c r="K55" s="39">
        <v>0</v>
      </c>
      <c r="L55" s="39" t="str">
        <f>"0,0000"</f>
        <v>0,0000</v>
      </c>
      <c r="M55" s="39"/>
    </row>
    <row r="56" spans="1:13" ht="12.75">
      <c r="A56" s="41" t="s">
        <v>497</v>
      </c>
      <c r="B56" s="41" t="s">
        <v>498</v>
      </c>
      <c r="C56" s="41" t="s">
        <v>499</v>
      </c>
      <c r="D56" s="41" t="str">
        <f>"0,9641"</f>
        <v>0,9641</v>
      </c>
      <c r="E56" s="41" t="s">
        <v>431</v>
      </c>
      <c r="F56" s="41" t="s">
        <v>432</v>
      </c>
      <c r="G56" s="41" t="s">
        <v>25</v>
      </c>
      <c r="H56" s="41" t="s">
        <v>83</v>
      </c>
      <c r="I56" s="41" t="s">
        <v>69</v>
      </c>
      <c r="J56" s="42"/>
      <c r="K56" s="41">
        <v>140</v>
      </c>
      <c r="L56" s="41" t="str">
        <f>"134,9788"</f>
        <v>134,9788</v>
      </c>
      <c r="M56" s="41"/>
    </row>
    <row r="58" spans="1:12" ht="15">
      <c r="A58" s="51" t="s">
        <v>222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</row>
    <row r="59" spans="1:13" ht="12.75">
      <c r="A59" s="37" t="s">
        <v>500</v>
      </c>
      <c r="B59" s="37" t="s">
        <v>501</v>
      </c>
      <c r="C59" s="37" t="s">
        <v>502</v>
      </c>
      <c r="D59" s="37" t="str">
        <f>"0,5608"</f>
        <v>0,5608</v>
      </c>
      <c r="E59" s="37" t="s">
        <v>44</v>
      </c>
      <c r="F59" s="37" t="s">
        <v>197</v>
      </c>
      <c r="G59" s="38" t="s">
        <v>216</v>
      </c>
      <c r="H59" s="37" t="s">
        <v>216</v>
      </c>
      <c r="I59" s="37" t="s">
        <v>255</v>
      </c>
      <c r="J59" s="38"/>
      <c r="K59" s="37">
        <v>162.5</v>
      </c>
      <c r="L59" s="37" t="str">
        <f>"91,1300"</f>
        <v>91,1300</v>
      </c>
      <c r="M59" s="37"/>
    </row>
    <row r="60" spans="1:13" ht="12.75">
      <c r="A60" s="39" t="s">
        <v>503</v>
      </c>
      <c r="B60" s="39" t="s">
        <v>504</v>
      </c>
      <c r="C60" s="39" t="s">
        <v>505</v>
      </c>
      <c r="D60" s="39" t="str">
        <f>"0,5565"</f>
        <v>0,5565</v>
      </c>
      <c r="E60" s="39" t="s">
        <v>182</v>
      </c>
      <c r="F60" s="39" t="s">
        <v>262</v>
      </c>
      <c r="G60" s="39" t="s">
        <v>100</v>
      </c>
      <c r="H60" s="39" t="s">
        <v>105</v>
      </c>
      <c r="I60" s="39" t="s">
        <v>51</v>
      </c>
      <c r="J60" s="40"/>
      <c r="K60" s="39">
        <v>190</v>
      </c>
      <c r="L60" s="39" t="str">
        <f>"105,7350"</f>
        <v>105,7350</v>
      </c>
      <c r="M60" s="39"/>
    </row>
    <row r="61" spans="1:13" ht="12.75">
      <c r="A61" s="39" t="s">
        <v>506</v>
      </c>
      <c r="B61" s="39" t="s">
        <v>507</v>
      </c>
      <c r="C61" s="39" t="s">
        <v>508</v>
      </c>
      <c r="D61" s="39" t="str">
        <f>"0,5548"</f>
        <v>0,5548</v>
      </c>
      <c r="E61" s="39" t="s">
        <v>44</v>
      </c>
      <c r="F61" s="39" t="s">
        <v>197</v>
      </c>
      <c r="G61" s="39" t="s">
        <v>255</v>
      </c>
      <c r="H61" s="39" t="s">
        <v>364</v>
      </c>
      <c r="I61" s="39" t="s">
        <v>115</v>
      </c>
      <c r="J61" s="40"/>
      <c r="K61" s="39">
        <v>172.5</v>
      </c>
      <c r="L61" s="39" t="str">
        <f>"95,7030"</f>
        <v>95,7030</v>
      </c>
      <c r="M61" s="39"/>
    </row>
    <row r="62" spans="1:13" ht="12.75">
      <c r="A62" s="39" t="s">
        <v>509</v>
      </c>
      <c r="B62" s="39" t="s">
        <v>510</v>
      </c>
      <c r="C62" s="39" t="s">
        <v>511</v>
      </c>
      <c r="D62" s="39" t="str">
        <f>"0,5581"</f>
        <v>0,5581</v>
      </c>
      <c r="E62" s="39" t="s">
        <v>44</v>
      </c>
      <c r="F62" s="39" t="s">
        <v>197</v>
      </c>
      <c r="G62" s="39" t="s">
        <v>47</v>
      </c>
      <c r="H62" s="39" t="s">
        <v>343</v>
      </c>
      <c r="I62" s="40" t="s">
        <v>74</v>
      </c>
      <c r="J62" s="40"/>
      <c r="K62" s="39">
        <v>165</v>
      </c>
      <c r="L62" s="39" t="str">
        <f>"92,0865"</f>
        <v>92,0865</v>
      </c>
      <c r="M62" s="39"/>
    </row>
    <row r="63" spans="1:13" ht="12.75">
      <c r="A63" s="39" t="s">
        <v>512</v>
      </c>
      <c r="B63" s="39" t="s">
        <v>513</v>
      </c>
      <c r="C63" s="39" t="s">
        <v>326</v>
      </c>
      <c r="D63" s="39" t="str">
        <f>"0,5563"</f>
        <v>0,5563</v>
      </c>
      <c r="E63" s="39" t="s">
        <v>44</v>
      </c>
      <c r="F63" s="39" t="s">
        <v>197</v>
      </c>
      <c r="G63" s="39" t="s">
        <v>76</v>
      </c>
      <c r="H63" s="39" t="s">
        <v>255</v>
      </c>
      <c r="I63" s="40" t="s">
        <v>364</v>
      </c>
      <c r="J63" s="40"/>
      <c r="K63" s="39">
        <v>162.5</v>
      </c>
      <c r="L63" s="39" t="str">
        <f>"90,3987"</f>
        <v>90,3987</v>
      </c>
      <c r="M63" s="39"/>
    </row>
    <row r="64" spans="1:13" ht="12.75">
      <c r="A64" s="39" t="s">
        <v>514</v>
      </c>
      <c r="B64" s="39" t="s">
        <v>515</v>
      </c>
      <c r="C64" s="39" t="s">
        <v>441</v>
      </c>
      <c r="D64" s="39" t="str">
        <f>"0,5758"</f>
        <v>0,5758</v>
      </c>
      <c r="E64" s="39" t="s">
        <v>44</v>
      </c>
      <c r="F64" s="39" t="s">
        <v>197</v>
      </c>
      <c r="G64" s="40" t="s">
        <v>47</v>
      </c>
      <c r="H64" s="39" t="s">
        <v>47</v>
      </c>
      <c r="I64" s="40" t="s">
        <v>255</v>
      </c>
      <c r="J64" s="40"/>
      <c r="K64" s="39">
        <v>160</v>
      </c>
      <c r="L64" s="39" t="str">
        <f>"92,1280"</f>
        <v>92,1280</v>
      </c>
      <c r="M64" s="39"/>
    </row>
    <row r="65" spans="1:13" ht="12.75">
      <c r="A65" s="39" t="s">
        <v>373</v>
      </c>
      <c r="B65" s="39" t="s">
        <v>374</v>
      </c>
      <c r="C65" s="39" t="s">
        <v>375</v>
      </c>
      <c r="D65" s="39" t="str">
        <f>"0,5550"</f>
        <v>0,5550</v>
      </c>
      <c r="E65" s="39" t="s">
        <v>44</v>
      </c>
      <c r="F65" s="39" t="s">
        <v>376</v>
      </c>
      <c r="G65" s="39" t="s">
        <v>50</v>
      </c>
      <c r="H65" s="39" t="s">
        <v>105</v>
      </c>
      <c r="I65" s="39" t="s">
        <v>263</v>
      </c>
      <c r="J65" s="40"/>
      <c r="K65" s="39">
        <v>187.5</v>
      </c>
      <c r="L65" s="39" t="str">
        <f>"104,0625"</f>
        <v>104,0625</v>
      </c>
      <c r="M65" s="39"/>
    </row>
    <row r="66" spans="1:13" ht="12.75">
      <c r="A66" s="39" t="s">
        <v>509</v>
      </c>
      <c r="B66" s="39" t="s">
        <v>516</v>
      </c>
      <c r="C66" s="39" t="s">
        <v>511</v>
      </c>
      <c r="D66" s="39" t="str">
        <f>"0,5631"</f>
        <v>0,5631</v>
      </c>
      <c r="E66" s="39" t="s">
        <v>44</v>
      </c>
      <c r="F66" s="39" t="s">
        <v>197</v>
      </c>
      <c r="G66" s="39" t="s">
        <v>47</v>
      </c>
      <c r="H66" s="39" t="s">
        <v>343</v>
      </c>
      <c r="I66" s="40" t="s">
        <v>74</v>
      </c>
      <c r="J66" s="40"/>
      <c r="K66" s="39">
        <v>165</v>
      </c>
      <c r="L66" s="39" t="str">
        <f>"92,9153"</f>
        <v>92,9153</v>
      </c>
      <c r="M66" s="39"/>
    </row>
    <row r="67" spans="1:13" ht="12.75">
      <c r="A67" s="39" t="s">
        <v>514</v>
      </c>
      <c r="B67" s="39" t="s">
        <v>517</v>
      </c>
      <c r="C67" s="39" t="s">
        <v>441</v>
      </c>
      <c r="D67" s="39" t="str">
        <f>"0,5758"</f>
        <v>0,5758</v>
      </c>
      <c r="E67" s="39" t="s">
        <v>44</v>
      </c>
      <c r="F67" s="39" t="s">
        <v>197</v>
      </c>
      <c r="G67" s="40" t="s">
        <v>47</v>
      </c>
      <c r="H67" s="39" t="s">
        <v>47</v>
      </c>
      <c r="I67" s="40" t="s">
        <v>255</v>
      </c>
      <c r="J67" s="40"/>
      <c r="K67" s="39">
        <v>160</v>
      </c>
      <c r="L67" s="39" t="str">
        <f>"92,1280"</f>
        <v>92,1280</v>
      </c>
      <c r="M67" s="39"/>
    </row>
    <row r="68" spans="1:13" ht="12.75">
      <c r="A68" s="39" t="s">
        <v>518</v>
      </c>
      <c r="B68" s="39" t="s">
        <v>519</v>
      </c>
      <c r="C68" s="39" t="s">
        <v>520</v>
      </c>
      <c r="D68" s="39" t="str">
        <f>"0,5768"</f>
        <v>0,5768</v>
      </c>
      <c r="E68" s="39" t="s">
        <v>44</v>
      </c>
      <c r="F68" s="39" t="s">
        <v>197</v>
      </c>
      <c r="G68" s="39" t="s">
        <v>83</v>
      </c>
      <c r="H68" s="39" t="s">
        <v>247</v>
      </c>
      <c r="I68" s="40" t="s">
        <v>46</v>
      </c>
      <c r="J68" s="40"/>
      <c r="K68" s="39">
        <v>145</v>
      </c>
      <c r="L68" s="39" t="str">
        <f>"83,6358"</f>
        <v>83,6358</v>
      </c>
      <c r="M68" s="39"/>
    </row>
    <row r="69" spans="1:13" ht="12.75">
      <c r="A69" s="39" t="s">
        <v>521</v>
      </c>
      <c r="B69" s="39" t="s">
        <v>522</v>
      </c>
      <c r="C69" s="39" t="s">
        <v>228</v>
      </c>
      <c r="D69" s="39" t="str">
        <f>"0,7412"</f>
        <v>0,7412</v>
      </c>
      <c r="E69" s="39" t="s">
        <v>44</v>
      </c>
      <c r="F69" s="39" t="s">
        <v>523</v>
      </c>
      <c r="G69" s="39" t="s">
        <v>255</v>
      </c>
      <c r="H69" s="39" t="s">
        <v>364</v>
      </c>
      <c r="I69" s="39" t="s">
        <v>74</v>
      </c>
      <c r="J69" s="40"/>
      <c r="K69" s="39">
        <v>170</v>
      </c>
      <c r="L69" s="39" t="str">
        <f>"126,0055"</f>
        <v>126,0055</v>
      </c>
      <c r="M69" s="39"/>
    </row>
    <row r="70" spans="1:13" ht="12.75">
      <c r="A70" s="41" t="s">
        <v>524</v>
      </c>
      <c r="B70" s="41" t="s">
        <v>525</v>
      </c>
      <c r="C70" s="41" t="s">
        <v>526</v>
      </c>
      <c r="D70" s="41" t="str">
        <f>"0,6758"</f>
        <v>0,6758</v>
      </c>
      <c r="E70" s="41" t="s">
        <v>44</v>
      </c>
      <c r="F70" s="41" t="s">
        <v>197</v>
      </c>
      <c r="G70" s="41" t="s">
        <v>20</v>
      </c>
      <c r="H70" s="41" t="s">
        <v>24</v>
      </c>
      <c r="I70" s="42" t="s">
        <v>25</v>
      </c>
      <c r="J70" s="42"/>
      <c r="K70" s="41">
        <v>120</v>
      </c>
      <c r="L70" s="41" t="str">
        <f>"81,0966"</f>
        <v>81,0966</v>
      </c>
      <c r="M70" s="41"/>
    </row>
    <row r="72" spans="1:12" ht="15">
      <c r="A72" s="51" t="s">
        <v>107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</row>
    <row r="73" spans="1:13" ht="12.75">
      <c r="A73" s="37" t="s">
        <v>527</v>
      </c>
      <c r="B73" s="37" t="s">
        <v>528</v>
      </c>
      <c r="C73" s="37" t="s">
        <v>529</v>
      </c>
      <c r="D73" s="37" t="str">
        <f>"0,5377"</f>
        <v>0,5377</v>
      </c>
      <c r="E73" s="37" t="s">
        <v>431</v>
      </c>
      <c r="F73" s="37" t="s">
        <v>432</v>
      </c>
      <c r="G73" s="37" t="s">
        <v>52</v>
      </c>
      <c r="H73" s="38" t="s">
        <v>67</v>
      </c>
      <c r="I73" s="38" t="s">
        <v>67</v>
      </c>
      <c r="J73" s="38"/>
      <c r="K73" s="37">
        <v>200</v>
      </c>
      <c r="L73" s="37" t="str">
        <f>"107,5400"</f>
        <v>107,5400</v>
      </c>
      <c r="M73" s="37"/>
    </row>
    <row r="74" spans="1:13" ht="12.75">
      <c r="A74" s="41" t="s">
        <v>530</v>
      </c>
      <c r="B74" s="41" t="s">
        <v>531</v>
      </c>
      <c r="C74" s="41" t="s">
        <v>381</v>
      </c>
      <c r="D74" s="41" t="str">
        <f>"0,5765"</f>
        <v>0,5765</v>
      </c>
      <c r="E74" s="41" t="s">
        <v>17</v>
      </c>
      <c r="F74" s="41" t="s">
        <v>17</v>
      </c>
      <c r="G74" s="41" t="s">
        <v>247</v>
      </c>
      <c r="H74" s="41" t="s">
        <v>76</v>
      </c>
      <c r="I74" s="41" t="s">
        <v>364</v>
      </c>
      <c r="J74" s="42"/>
      <c r="K74" s="41">
        <v>167.5</v>
      </c>
      <c r="L74" s="41" t="str">
        <f>"96,5657"</f>
        <v>96,5657</v>
      </c>
      <c r="M74" s="41"/>
    </row>
    <row r="76" spans="1:12" ht="15">
      <c r="A76" s="51" t="s">
        <v>272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</row>
    <row r="77" spans="1:13" ht="12.75">
      <c r="A77" s="37" t="s">
        <v>532</v>
      </c>
      <c r="B77" s="37" t="s">
        <v>533</v>
      </c>
      <c r="C77" s="37" t="s">
        <v>534</v>
      </c>
      <c r="D77" s="37" t="str">
        <f>"0,5260"</f>
        <v>0,5260</v>
      </c>
      <c r="E77" s="37" t="s">
        <v>44</v>
      </c>
      <c r="F77" s="37" t="s">
        <v>197</v>
      </c>
      <c r="G77" s="37" t="s">
        <v>47</v>
      </c>
      <c r="H77" s="38" t="s">
        <v>74</v>
      </c>
      <c r="I77" s="37" t="s">
        <v>74</v>
      </c>
      <c r="J77" s="38"/>
      <c r="K77" s="37">
        <v>170</v>
      </c>
      <c r="L77" s="37" t="str">
        <f>"89,4200"</f>
        <v>89,4200</v>
      </c>
      <c r="M77" s="37"/>
    </row>
    <row r="78" spans="1:13" ht="12.75">
      <c r="A78" s="39" t="s">
        <v>535</v>
      </c>
      <c r="B78" s="39" t="s">
        <v>536</v>
      </c>
      <c r="C78" s="39" t="s">
        <v>537</v>
      </c>
      <c r="D78" s="39" t="str">
        <f>"0,5217"</f>
        <v>0,5217</v>
      </c>
      <c r="E78" s="39" t="s">
        <v>182</v>
      </c>
      <c r="F78" s="39" t="s">
        <v>262</v>
      </c>
      <c r="G78" s="39" t="s">
        <v>105</v>
      </c>
      <c r="H78" s="39" t="s">
        <v>75</v>
      </c>
      <c r="I78" s="39" t="s">
        <v>53</v>
      </c>
      <c r="J78" s="40"/>
      <c r="K78" s="39">
        <v>202.5</v>
      </c>
      <c r="L78" s="39" t="str">
        <f>"105,6443"</f>
        <v>105,6443</v>
      </c>
      <c r="M78" s="39"/>
    </row>
    <row r="79" spans="1:13" ht="12.75">
      <c r="A79" s="39" t="s">
        <v>538</v>
      </c>
      <c r="B79" s="39" t="s">
        <v>539</v>
      </c>
      <c r="C79" s="39" t="s">
        <v>540</v>
      </c>
      <c r="D79" s="39" t="str">
        <f>"0,5256"</f>
        <v>0,5256</v>
      </c>
      <c r="E79" s="39" t="s">
        <v>44</v>
      </c>
      <c r="F79" s="39" t="s">
        <v>541</v>
      </c>
      <c r="G79" s="39" t="s">
        <v>74</v>
      </c>
      <c r="H79" s="39" t="s">
        <v>100</v>
      </c>
      <c r="I79" s="39" t="s">
        <v>542</v>
      </c>
      <c r="J79" s="40"/>
      <c r="K79" s="39">
        <v>177.5</v>
      </c>
      <c r="L79" s="39" t="str">
        <f>"93,2940"</f>
        <v>93,2940</v>
      </c>
      <c r="M79" s="39"/>
    </row>
    <row r="80" spans="1:13" ht="12.75">
      <c r="A80" s="39" t="s">
        <v>543</v>
      </c>
      <c r="B80" s="39" t="s">
        <v>544</v>
      </c>
      <c r="C80" s="39" t="s">
        <v>545</v>
      </c>
      <c r="D80" s="39" t="str">
        <f>"0,5490"</f>
        <v>0,5490</v>
      </c>
      <c r="E80" s="39" t="s">
        <v>44</v>
      </c>
      <c r="F80" s="39" t="s">
        <v>546</v>
      </c>
      <c r="G80" s="39" t="s">
        <v>46</v>
      </c>
      <c r="H80" s="39" t="s">
        <v>47</v>
      </c>
      <c r="I80" s="39" t="s">
        <v>255</v>
      </c>
      <c r="J80" s="40"/>
      <c r="K80" s="39">
        <v>162.5</v>
      </c>
      <c r="L80" s="39" t="str">
        <f>"89,2137"</f>
        <v>89,2137</v>
      </c>
      <c r="M80" s="39"/>
    </row>
    <row r="81" spans="1:13" ht="12.75">
      <c r="A81" s="39" t="s">
        <v>547</v>
      </c>
      <c r="B81" s="39" t="s">
        <v>548</v>
      </c>
      <c r="C81" s="39" t="s">
        <v>549</v>
      </c>
      <c r="D81" s="39" t="str">
        <f>"0,5938"</f>
        <v>0,5938</v>
      </c>
      <c r="E81" s="39" t="s">
        <v>480</v>
      </c>
      <c r="F81" s="39" t="s">
        <v>197</v>
      </c>
      <c r="G81" s="39" t="s">
        <v>74</v>
      </c>
      <c r="H81" s="39" t="s">
        <v>115</v>
      </c>
      <c r="I81" s="40" t="s">
        <v>100</v>
      </c>
      <c r="J81" s="40"/>
      <c r="K81" s="39">
        <v>172.5</v>
      </c>
      <c r="L81" s="39" t="str">
        <f>"102,4300"</f>
        <v>102,4300</v>
      </c>
      <c r="M81" s="39"/>
    </row>
    <row r="82" spans="1:13" ht="12.75">
      <c r="A82" s="41" t="s">
        <v>550</v>
      </c>
      <c r="B82" s="41" t="s">
        <v>551</v>
      </c>
      <c r="C82" s="41" t="s">
        <v>552</v>
      </c>
      <c r="D82" s="41" t="str">
        <f>"0,6959"</f>
        <v>0,6959</v>
      </c>
      <c r="E82" s="41" t="s">
        <v>480</v>
      </c>
      <c r="F82" s="41" t="s">
        <v>197</v>
      </c>
      <c r="G82" s="41" t="s">
        <v>343</v>
      </c>
      <c r="H82" s="41" t="s">
        <v>74</v>
      </c>
      <c r="I82" s="42" t="s">
        <v>100</v>
      </c>
      <c r="J82" s="42"/>
      <c r="K82" s="41">
        <v>170</v>
      </c>
      <c r="L82" s="41" t="str">
        <f>"118,2955"</f>
        <v>118,2955</v>
      </c>
      <c r="M82" s="41"/>
    </row>
    <row r="84" spans="1:12" ht="15">
      <c r="A84" s="51" t="s">
        <v>328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</row>
    <row r="85" spans="1:13" ht="12.75">
      <c r="A85" s="37" t="s">
        <v>553</v>
      </c>
      <c r="B85" s="37" t="s">
        <v>554</v>
      </c>
      <c r="C85" s="37" t="s">
        <v>555</v>
      </c>
      <c r="D85" s="37" t="str">
        <f>"0,5154"</f>
        <v>0,5154</v>
      </c>
      <c r="E85" s="37" t="s">
        <v>44</v>
      </c>
      <c r="F85" s="37" t="s">
        <v>197</v>
      </c>
      <c r="G85" s="38" t="s">
        <v>83</v>
      </c>
      <c r="H85" s="37" t="s">
        <v>83</v>
      </c>
      <c r="I85" s="38" t="s">
        <v>106</v>
      </c>
      <c r="J85" s="38"/>
      <c r="K85" s="37">
        <v>135</v>
      </c>
      <c r="L85" s="37" t="str">
        <f>"69,5736"</f>
        <v>69,5736</v>
      </c>
      <c r="M85" s="37"/>
    </row>
    <row r="86" spans="1:13" ht="12.75">
      <c r="A86" s="39" t="s">
        <v>556</v>
      </c>
      <c r="B86" s="39" t="s">
        <v>557</v>
      </c>
      <c r="C86" s="39" t="s">
        <v>558</v>
      </c>
      <c r="D86" s="39" t="str">
        <f>"0,5233"</f>
        <v>0,5233</v>
      </c>
      <c r="E86" s="39" t="s">
        <v>44</v>
      </c>
      <c r="F86" s="39" t="s">
        <v>559</v>
      </c>
      <c r="G86" s="39" t="s">
        <v>47</v>
      </c>
      <c r="H86" s="39" t="s">
        <v>74</v>
      </c>
      <c r="I86" s="40" t="s">
        <v>542</v>
      </c>
      <c r="J86" s="40"/>
      <c r="K86" s="39">
        <v>170</v>
      </c>
      <c r="L86" s="39" t="str">
        <f>"88,9555"</f>
        <v>88,9555</v>
      </c>
      <c r="M86" s="39"/>
    </row>
    <row r="87" spans="1:13" ht="12.75">
      <c r="A87" s="41" t="s">
        <v>560</v>
      </c>
      <c r="B87" s="41" t="s">
        <v>561</v>
      </c>
      <c r="C87" s="41" t="s">
        <v>562</v>
      </c>
      <c r="D87" s="41" t="str">
        <f>"0,9122"</f>
        <v>0,9122</v>
      </c>
      <c r="E87" s="41" t="s">
        <v>111</v>
      </c>
      <c r="F87" s="41" t="s">
        <v>563</v>
      </c>
      <c r="G87" s="41" t="s">
        <v>18</v>
      </c>
      <c r="H87" s="41" t="s">
        <v>206</v>
      </c>
      <c r="I87" s="41" t="s">
        <v>19</v>
      </c>
      <c r="J87" s="42"/>
      <c r="K87" s="41">
        <v>110</v>
      </c>
      <c r="L87" s="41" t="str">
        <f>"100,3474"</f>
        <v>100,3474</v>
      </c>
      <c r="M87" s="41"/>
    </row>
    <row r="89" spans="1:12" ht="15">
      <c r="A89" s="51" t="s">
        <v>564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</row>
    <row r="90" spans="1:13" ht="12.75">
      <c r="A90" s="37" t="s">
        <v>565</v>
      </c>
      <c r="B90" s="37" t="s">
        <v>566</v>
      </c>
      <c r="C90" s="37" t="s">
        <v>567</v>
      </c>
      <c r="D90" s="37" t="str">
        <f>"0,4983"</f>
        <v>0,4983</v>
      </c>
      <c r="E90" s="37" t="s">
        <v>44</v>
      </c>
      <c r="F90" s="37" t="s">
        <v>568</v>
      </c>
      <c r="G90" s="37" t="s">
        <v>100</v>
      </c>
      <c r="H90" s="37" t="s">
        <v>50</v>
      </c>
      <c r="I90" s="37" t="s">
        <v>105</v>
      </c>
      <c r="J90" s="38"/>
      <c r="K90" s="37">
        <v>185</v>
      </c>
      <c r="L90" s="37" t="str">
        <f>"92,1910"</f>
        <v>92,1910</v>
      </c>
      <c r="M90" s="37"/>
    </row>
    <row r="91" spans="1:13" ht="12.75">
      <c r="A91" s="41" t="s">
        <v>565</v>
      </c>
      <c r="B91" s="41" t="s">
        <v>569</v>
      </c>
      <c r="C91" s="41" t="s">
        <v>567</v>
      </c>
      <c r="D91" s="41" t="str">
        <f>"0,5222"</f>
        <v>0,5222</v>
      </c>
      <c r="E91" s="41" t="s">
        <v>44</v>
      </c>
      <c r="F91" s="41" t="s">
        <v>568</v>
      </c>
      <c r="G91" s="41" t="s">
        <v>100</v>
      </c>
      <c r="H91" s="41" t="s">
        <v>50</v>
      </c>
      <c r="I91" s="41" t="s">
        <v>105</v>
      </c>
      <c r="J91" s="42"/>
      <c r="K91" s="41">
        <v>185</v>
      </c>
      <c r="L91" s="41" t="str">
        <f>"96,6162"</f>
        <v>96,6162</v>
      </c>
      <c r="M91" s="41"/>
    </row>
    <row r="93" ht="15">
      <c r="E93" s="43" t="s">
        <v>118</v>
      </c>
    </row>
    <row r="94" ht="15">
      <c r="E94" s="43" t="s">
        <v>119</v>
      </c>
    </row>
    <row r="95" ht="15">
      <c r="E95" s="43" t="s">
        <v>120</v>
      </c>
    </row>
    <row r="96" ht="12.75">
      <c r="E96" s="34" t="s">
        <v>121</v>
      </c>
    </row>
    <row r="97" ht="12.75">
      <c r="E97" s="34" t="s">
        <v>122</v>
      </c>
    </row>
    <row r="98" ht="12.75">
      <c r="E98" s="34" t="s">
        <v>123</v>
      </c>
    </row>
    <row r="101" spans="1:2" ht="18">
      <c r="A101" s="44" t="s">
        <v>124</v>
      </c>
      <c r="B101" s="44"/>
    </row>
    <row r="102" spans="1:2" ht="15">
      <c r="A102" s="45" t="s">
        <v>125</v>
      </c>
      <c r="B102" s="45"/>
    </row>
    <row r="103" spans="1:2" ht="14.25">
      <c r="A103" s="47" t="s">
        <v>285</v>
      </c>
      <c r="B103" s="48"/>
    </row>
    <row r="104" spans="1:5" ht="15">
      <c r="A104" s="49" t="s">
        <v>0</v>
      </c>
      <c r="B104" s="49" t="s">
        <v>127</v>
      </c>
      <c r="C104" s="49" t="s">
        <v>128</v>
      </c>
      <c r="D104" s="49" t="s">
        <v>7</v>
      </c>
      <c r="E104" s="49" t="s">
        <v>129</v>
      </c>
    </row>
    <row r="105" spans="1:5" ht="12.75">
      <c r="A105" s="46" t="s">
        <v>406</v>
      </c>
      <c r="B105" s="34" t="s">
        <v>570</v>
      </c>
      <c r="C105" s="34" t="s">
        <v>163</v>
      </c>
      <c r="D105" s="34" t="s">
        <v>23</v>
      </c>
      <c r="E105" s="50" t="s">
        <v>571</v>
      </c>
    </row>
    <row r="107" spans="1:2" ht="14.25">
      <c r="A107" s="47" t="s">
        <v>126</v>
      </c>
      <c r="B107" s="48"/>
    </row>
    <row r="108" spans="1:5" ht="15">
      <c r="A108" s="49" t="s">
        <v>0</v>
      </c>
      <c r="B108" s="49" t="s">
        <v>127</v>
      </c>
      <c r="C108" s="49" t="s">
        <v>128</v>
      </c>
      <c r="D108" s="49" t="s">
        <v>7</v>
      </c>
      <c r="E108" s="49" t="s">
        <v>129</v>
      </c>
    </row>
    <row r="109" spans="1:5" ht="12.75">
      <c r="A109" s="46" t="s">
        <v>428</v>
      </c>
      <c r="B109" s="34" t="s">
        <v>126</v>
      </c>
      <c r="C109" s="34" t="s">
        <v>130</v>
      </c>
      <c r="D109" s="34" t="s">
        <v>178</v>
      </c>
      <c r="E109" s="50" t="s">
        <v>572</v>
      </c>
    </row>
    <row r="110" spans="1:5" ht="12.75">
      <c r="A110" s="46" t="s">
        <v>410</v>
      </c>
      <c r="B110" s="34" t="s">
        <v>126</v>
      </c>
      <c r="C110" s="34" t="s">
        <v>283</v>
      </c>
      <c r="D110" s="34" t="s">
        <v>201</v>
      </c>
      <c r="E110" s="50" t="s">
        <v>573</v>
      </c>
    </row>
    <row r="111" spans="1:5" ht="12.75">
      <c r="A111" s="46" t="s">
        <v>415</v>
      </c>
      <c r="B111" s="34" t="s">
        <v>126</v>
      </c>
      <c r="C111" s="34" t="s">
        <v>283</v>
      </c>
      <c r="D111" s="34" t="s">
        <v>336</v>
      </c>
      <c r="E111" s="50" t="s">
        <v>574</v>
      </c>
    </row>
    <row r="112" spans="1:5" ht="12.75">
      <c r="A112" s="46" t="s">
        <v>422</v>
      </c>
      <c r="B112" s="34" t="s">
        <v>126</v>
      </c>
      <c r="C112" s="34" t="s">
        <v>136</v>
      </c>
      <c r="D112" s="34" t="s">
        <v>336</v>
      </c>
      <c r="E112" s="50" t="s">
        <v>575</v>
      </c>
    </row>
    <row r="113" spans="1:5" ht="12.75">
      <c r="A113" s="46" t="s">
        <v>425</v>
      </c>
      <c r="B113" s="34" t="s">
        <v>126</v>
      </c>
      <c r="C113" s="34" t="s">
        <v>136</v>
      </c>
      <c r="D113" s="34" t="s">
        <v>39</v>
      </c>
      <c r="E113" s="50" t="s">
        <v>576</v>
      </c>
    </row>
    <row r="114" spans="1:5" ht="12.75">
      <c r="A114" s="46" t="s">
        <v>418</v>
      </c>
      <c r="B114" s="34" t="s">
        <v>126</v>
      </c>
      <c r="C114" s="34" t="s">
        <v>283</v>
      </c>
      <c r="D114" s="34" t="s">
        <v>22</v>
      </c>
      <c r="E114" s="50" t="s">
        <v>577</v>
      </c>
    </row>
    <row r="115" spans="1:5" ht="12.75">
      <c r="A115" s="46" t="s">
        <v>434</v>
      </c>
      <c r="B115" s="34" t="s">
        <v>126</v>
      </c>
      <c r="C115" s="34" t="s">
        <v>278</v>
      </c>
      <c r="D115" s="34" t="s">
        <v>58</v>
      </c>
      <c r="E115" s="50" t="s">
        <v>578</v>
      </c>
    </row>
    <row r="116" spans="1:5" ht="12.75">
      <c r="A116" s="46" t="s">
        <v>439</v>
      </c>
      <c r="B116" s="34" t="s">
        <v>126</v>
      </c>
      <c r="C116" s="34" t="s">
        <v>579</v>
      </c>
      <c r="D116" s="34" t="s">
        <v>414</v>
      </c>
      <c r="E116" s="50" t="s">
        <v>580</v>
      </c>
    </row>
    <row r="119" spans="1:2" ht="15">
      <c r="A119" s="45" t="s">
        <v>145</v>
      </c>
      <c r="B119" s="45"/>
    </row>
    <row r="120" spans="1:2" ht="14.25">
      <c r="A120" s="47" t="s">
        <v>285</v>
      </c>
      <c r="B120" s="48"/>
    </row>
    <row r="121" spans="1:5" ht="15">
      <c r="A121" s="49" t="s">
        <v>0</v>
      </c>
      <c r="B121" s="49" t="s">
        <v>127</v>
      </c>
      <c r="C121" s="49" t="s">
        <v>128</v>
      </c>
      <c r="D121" s="49" t="s">
        <v>7</v>
      </c>
      <c r="E121" s="49" t="s">
        <v>129</v>
      </c>
    </row>
    <row r="122" spans="1:5" ht="12.75">
      <c r="A122" s="46" t="s">
        <v>450</v>
      </c>
      <c r="B122" s="34" t="s">
        <v>570</v>
      </c>
      <c r="C122" s="34" t="s">
        <v>283</v>
      </c>
      <c r="D122" s="34" t="s">
        <v>178</v>
      </c>
      <c r="E122" s="50" t="s">
        <v>581</v>
      </c>
    </row>
    <row r="123" spans="1:5" ht="12.75">
      <c r="A123" s="46" t="s">
        <v>462</v>
      </c>
      <c r="B123" s="34" t="s">
        <v>288</v>
      </c>
      <c r="C123" s="34" t="s">
        <v>278</v>
      </c>
      <c r="D123" s="34" t="s">
        <v>25</v>
      </c>
      <c r="E123" s="50" t="s">
        <v>582</v>
      </c>
    </row>
    <row r="124" spans="1:5" ht="12.75">
      <c r="A124" s="46" t="s">
        <v>485</v>
      </c>
      <c r="B124" s="34" t="s">
        <v>570</v>
      </c>
      <c r="C124" s="34" t="s">
        <v>151</v>
      </c>
      <c r="D124" s="34" t="s">
        <v>24</v>
      </c>
      <c r="E124" s="50" t="s">
        <v>583</v>
      </c>
    </row>
    <row r="125" spans="1:5" ht="12.75">
      <c r="A125" s="46" t="s">
        <v>468</v>
      </c>
      <c r="B125" s="34" t="s">
        <v>570</v>
      </c>
      <c r="C125" s="34" t="s">
        <v>278</v>
      </c>
      <c r="D125" s="34" t="s">
        <v>201</v>
      </c>
      <c r="E125" s="50" t="s">
        <v>584</v>
      </c>
    </row>
    <row r="126" spans="1:5" ht="12.75">
      <c r="A126" s="46" t="s">
        <v>465</v>
      </c>
      <c r="B126" s="34" t="s">
        <v>288</v>
      </c>
      <c r="C126" s="34" t="s">
        <v>278</v>
      </c>
      <c r="D126" s="34" t="s">
        <v>48</v>
      </c>
      <c r="E126" s="50" t="s">
        <v>585</v>
      </c>
    </row>
    <row r="128" spans="1:2" ht="14.25">
      <c r="A128" s="47" t="s">
        <v>146</v>
      </c>
      <c r="B128" s="48"/>
    </row>
    <row r="129" spans="1:5" ht="15">
      <c r="A129" s="49" t="s">
        <v>0</v>
      </c>
      <c r="B129" s="49" t="s">
        <v>127</v>
      </c>
      <c r="C129" s="49" t="s">
        <v>128</v>
      </c>
      <c r="D129" s="49" t="s">
        <v>7</v>
      </c>
      <c r="E129" s="49" t="s">
        <v>129</v>
      </c>
    </row>
    <row r="130" spans="1:5" ht="12.75">
      <c r="A130" s="46" t="s">
        <v>500</v>
      </c>
      <c r="B130" s="34" t="s">
        <v>147</v>
      </c>
      <c r="C130" s="34" t="s">
        <v>290</v>
      </c>
      <c r="D130" s="34" t="s">
        <v>255</v>
      </c>
      <c r="E130" s="50" t="s">
        <v>586</v>
      </c>
    </row>
    <row r="131" spans="1:5" ht="12.75">
      <c r="A131" s="46" t="s">
        <v>532</v>
      </c>
      <c r="B131" s="34" t="s">
        <v>147</v>
      </c>
      <c r="C131" s="34" t="s">
        <v>312</v>
      </c>
      <c r="D131" s="34" t="s">
        <v>74</v>
      </c>
      <c r="E131" s="50" t="s">
        <v>587</v>
      </c>
    </row>
    <row r="133" spans="1:2" ht="14.25">
      <c r="A133" s="47" t="s">
        <v>126</v>
      </c>
      <c r="B133" s="48"/>
    </row>
    <row r="134" spans="1:5" ht="15">
      <c r="A134" s="49" t="s">
        <v>0</v>
      </c>
      <c r="B134" s="49" t="s">
        <v>127</v>
      </c>
      <c r="C134" s="49" t="s">
        <v>128</v>
      </c>
      <c r="D134" s="49" t="s">
        <v>7</v>
      </c>
      <c r="E134" s="49" t="s">
        <v>129</v>
      </c>
    </row>
    <row r="135" spans="1:5" ht="12.75">
      <c r="A135" s="46" t="s">
        <v>527</v>
      </c>
      <c r="B135" s="34" t="s">
        <v>126</v>
      </c>
      <c r="C135" s="34" t="s">
        <v>156</v>
      </c>
      <c r="D135" s="34" t="s">
        <v>52</v>
      </c>
      <c r="E135" s="50" t="s">
        <v>588</v>
      </c>
    </row>
    <row r="136" spans="1:5" ht="12.75">
      <c r="A136" s="46" t="s">
        <v>452</v>
      </c>
      <c r="B136" s="34" t="s">
        <v>126</v>
      </c>
      <c r="C136" s="34" t="s">
        <v>136</v>
      </c>
      <c r="D136" s="34" t="s">
        <v>26</v>
      </c>
      <c r="E136" s="50" t="s">
        <v>589</v>
      </c>
    </row>
    <row r="137" spans="1:5" ht="12.75">
      <c r="A137" s="46" t="s">
        <v>456</v>
      </c>
      <c r="B137" s="34" t="s">
        <v>126</v>
      </c>
      <c r="C137" s="34" t="s">
        <v>130</v>
      </c>
      <c r="D137" s="34" t="s">
        <v>247</v>
      </c>
      <c r="E137" s="50" t="s">
        <v>590</v>
      </c>
    </row>
    <row r="138" spans="1:5" ht="12.75">
      <c r="A138" s="46" t="s">
        <v>503</v>
      </c>
      <c r="B138" s="34" t="s">
        <v>126</v>
      </c>
      <c r="C138" s="34" t="s">
        <v>290</v>
      </c>
      <c r="D138" s="34" t="s">
        <v>51</v>
      </c>
      <c r="E138" s="50" t="s">
        <v>591</v>
      </c>
    </row>
    <row r="139" spans="1:5" ht="12.75">
      <c r="A139" s="46" t="s">
        <v>535</v>
      </c>
      <c r="B139" s="34" t="s">
        <v>126</v>
      </c>
      <c r="C139" s="34" t="s">
        <v>312</v>
      </c>
      <c r="D139" s="34" t="s">
        <v>53</v>
      </c>
      <c r="E139" s="50" t="s">
        <v>592</v>
      </c>
    </row>
    <row r="140" spans="1:5" ht="12.75">
      <c r="A140" s="46" t="s">
        <v>442</v>
      </c>
      <c r="B140" s="34" t="s">
        <v>126</v>
      </c>
      <c r="C140" s="34" t="s">
        <v>163</v>
      </c>
      <c r="D140" s="34" t="s">
        <v>444</v>
      </c>
      <c r="E140" s="50" t="s">
        <v>593</v>
      </c>
    </row>
    <row r="141" spans="1:5" ht="12.75">
      <c r="A141" s="46" t="s">
        <v>506</v>
      </c>
      <c r="B141" s="34" t="s">
        <v>126</v>
      </c>
      <c r="C141" s="34" t="s">
        <v>290</v>
      </c>
      <c r="D141" s="34" t="s">
        <v>115</v>
      </c>
      <c r="E141" s="50" t="s">
        <v>594</v>
      </c>
    </row>
    <row r="142" spans="1:5" ht="12.75">
      <c r="A142" s="46" t="s">
        <v>538</v>
      </c>
      <c r="B142" s="34" t="s">
        <v>126</v>
      </c>
      <c r="C142" s="34" t="s">
        <v>312</v>
      </c>
      <c r="D142" s="34" t="s">
        <v>542</v>
      </c>
      <c r="E142" s="50" t="s">
        <v>595</v>
      </c>
    </row>
    <row r="143" spans="1:5" ht="12.75">
      <c r="A143" s="46" t="s">
        <v>565</v>
      </c>
      <c r="B143" s="34" t="s">
        <v>126</v>
      </c>
      <c r="C143" s="34" t="s">
        <v>596</v>
      </c>
      <c r="D143" s="34" t="s">
        <v>105</v>
      </c>
      <c r="E143" s="50" t="s">
        <v>597</v>
      </c>
    </row>
    <row r="144" spans="1:5" ht="12.75">
      <c r="A144" s="46" t="s">
        <v>514</v>
      </c>
      <c r="B144" s="34" t="s">
        <v>126</v>
      </c>
      <c r="C144" s="34" t="s">
        <v>290</v>
      </c>
      <c r="D144" s="34" t="s">
        <v>47</v>
      </c>
      <c r="E144" s="50" t="s">
        <v>598</v>
      </c>
    </row>
    <row r="145" spans="1:5" ht="12.75">
      <c r="A145" s="46" t="s">
        <v>509</v>
      </c>
      <c r="B145" s="34" t="s">
        <v>126</v>
      </c>
      <c r="C145" s="34" t="s">
        <v>290</v>
      </c>
      <c r="D145" s="34" t="s">
        <v>343</v>
      </c>
      <c r="E145" s="50" t="s">
        <v>599</v>
      </c>
    </row>
    <row r="146" spans="1:5" ht="12.75">
      <c r="A146" s="46" t="s">
        <v>470</v>
      </c>
      <c r="B146" s="34" t="s">
        <v>126</v>
      </c>
      <c r="C146" s="34" t="s">
        <v>278</v>
      </c>
      <c r="D146" s="34" t="s">
        <v>83</v>
      </c>
      <c r="E146" s="50" t="s">
        <v>600</v>
      </c>
    </row>
    <row r="147" spans="1:5" ht="12.75">
      <c r="A147" s="46" t="s">
        <v>512</v>
      </c>
      <c r="B147" s="34" t="s">
        <v>126</v>
      </c>
      <c r="C147" s="34" t="s">
        <v>290</v>
      </c>
      <c r="D147" s="34" t="s">
        <v>255</v>
      </c>
      <c r="E147" s="50" t="s">
        <v>601</v>
      </c>
    </row>
    <row r="148" spans="1:5" ht="12.75">
      <c r="A148" s="46" t="s">
        <v>488</v>
      </c>
      <c r="B148" s="34" t="s">
        <v>126</v>
      </c>
      <c r="C148" s="34" t="s">
        <v>151</v>
      </c>
      <c r="D148" s="34" t="s">
        <v>69</v>
      </c>
      <c r="E148" s="50" t="s">
        <v>602</v>
      </c>
    </row>
    <row r="149" spans="1:5" ht="12.75">
      <c r="A149" s="46" t="s">
        <v>491</v>
      </c>
      <c r="B149" s="34" t="s">
        <v>126</v>
      </c>
      <c r="C149" s="34" t="s">
        <v>151</v>
      </c>
      <c r="D149" s="34" t="s">
        <v>481</v>
      </c>
      <c r="E149" s="50" t="s">
        <v>603</v>
      </c>
    </row>
    <row r="150" spans="1:5" ht="12.75">
      <c r="A150" s="46" t="s">
        <v>553</v>
      </c>
      <c r="B150" s="34" t="s">
        <v>126</v>
      </c>
      <c r="C150" s="34" t="s">
        <v>604</v>
      </c>
      <c r="D150" s="34" t="s">
        <v>83</v>
      </c>
      <c r="E150" s="50" t="s">
        <v>605</v>
      </c>
    </row>
    <row r="152" spans="1:2" ht="14.25">
      <c r="A152" s="47" t="s">
        <v>138</v>
      </c>
      <c r="B152" s="48"/>
    </row>
    <row r="153" spans="1:5" ht="15">
      <c r="A153" s="49" t="s">
        <v>0</v>
      </c>
      <c r="B153" s="49" t="s">
        <v>127</v>
      </c>
      <c r="C153" s="49" t="s">
        <v>128</v>
      </c>
      <c r="D153" s="49" t="s">
        <v>7</v>
      </c>
      <c r="E153" s="49" t="s">
        <v>129</v>
      </c>
    </row>
    <row r="154" spans="1:5" ht="12.75">
      <c r="A154" s="46" t="s">
        <v>497</v>
      </c>
      <c r="B154" s="34" t="s">
        <v>606</v>
      </c>
      <c r="C154" s="34" t="s">
        <v>151</v>
      </c>
      <c r="D154" s="34" t="s">
        <v>69</v>
      </c>
      <c r="E154" s="50" t="s">
        <v>607</v>
      </c>
    </row>
    <row r="155" spans="1:5" ht="12.75">
      <c r="A155" s="46" t="s">
        <v>521</v>
      </c>
      <c r="B155" s="34" t="s">
        <v>139</v>
      </c>
      <c r="C155" s="34" t="s">
        <v>290</v>
      </c>
      <c r="D155" s="34" t="s">
        <v>74</v>
      </c>
      <c r="E155" s="50" t="s">
        <v>608</v>
      </c>
    </row>
    <row r="156" spans="1:5" ht="12.75">
      <c r="A156" s="46" t="s">
        <v>550</v>
      </c>
      <c r="B156" s="34" t="s">
        <v>139</v>
      </c>
      <c r="C156" s="34" t="s">
        <v>312</v>
      </c>
      <c r="D156" s="34" t="s">
        <v>74</v>
      </c>
      <c r="E156" s="50" t="s">
        <v>609</v>
      </c>
    </row>
    <row r="157" spans="1:5" ht="12.75">
      <c r="A157" s="46" t="s">
        <v>547</v>
      </c>
      <c r="B157" s="34" t="s">
        <v>307</v>
      </c>
      <c r="C157" s="34" t="s">
        <v>312</v>
      </c>
      <c r="D157" s="34" t="s">
        <v>115</v>
      </c>
      <c r="E157" s="50" t="s">
        <v>610</v>
      </c>
    </row>
    <row r="158" spans="1:5" ht="12.75">
      <c r="A158" s="46" t="s">
        <v>560</v>
      </c>
      <c r="B158" s="34" t="s">
        <v>606</v>
      </c>
      <c r="C158" s="34" t="s">
        <v>604</v>
      </c>
      <c r="D158" s="34" t="s">
        <v>19</v>
      </c>
      <c r="E158" s="50" t="s">
        <v>611</v>
      </c>
    </row>
    <row r="159" spans="1:5" ht="12.75">
      <c r="A159" s="46" t="s">
        <v>565</v>
      </c>
      <c r="B159" s="34" t="s">
        <v>307</v>
      </c>
      <c r="C159" s="34" t="s">
        <v>596</v>
      </c>
      <c r="D159" s="34" t="s">
        <v>105</v>
      </c>
      <c r="E159" s="50" t="s">
        <v>612</v>
      </c>
    </row>
    <row r="160" spans="1:5" ht="12.75">
      <c r="A160" s="46" t="s">
        <v>530</v>
      </c>
      <c r="B160" s="34" t="s">
        <v>307</v>
      </c>
      <c r="C160" s="34" t="s">
        <v>156</v>
      </c>
      <c r="D160" s="34" t="s">
        <v>364</v>
      </c>
      <c r="E160" s="50" t="s">
        <v>613</v>
      </c>
    </row>
    <row r="161" spans="1:5" ht="12.75">
      <c r="A161" s="46" t="s">
        <v>509</v>
      </c>
      <c r="B161" s="34" t="s">
        <v>160</v>
      </c>
      <c r="C161" s="34" t="s">
        <v>290</v>
      </c>
      <c r="D161" s="34" t="s">
        <v>343</v>
      </c>
      <c r="E161" s="50" t="s">
        <v>614</v>
      </c>
    </row>
    <row r="162" spans="1:5" ht="12.75">
      <c r="A162" s="46" t="s">
        <v>514</v>
      </c>
      <c r="B162" s="34" t="s">
        <v>160</v>
      </c>
      <c r="C162" s="34" t="s">
        <v>290</v>
      </c>
      <c r="D162" s="34" t="s">
        <v>47</v>
      </c>
      <c r="E162" s="50" t="s">
        <v>598</v>
      </c>
    </row>
    <row r="163" spans="1:5" ht="12.75">
      <c r="A163" s="46" t="s">
        <v>477</v>
      </c>
      <c r="B163" s="34" t="s">
        <v>160</v>
      </c>
      <c r="C163" s="34" t="s">
        <v>278</v>
      </c>
      <c r="D163" s="34" t="s">
        <v>83</v>
      </c>
      <c r="E163" s="50" t="s">
        <v>615</v>
      </c>
    </row>
    <row r="164" spans="1:5" ht="12.75">
      <c r="A164" s="46" t="s">
        <v>543</v>
      </c>
      <c r="B164" s="34" t="s">
        <v>160</v>
      </c>
      <c r="C164" s="34" t="s">
        <v>312</v>
      </c>
      <c r="D164" s="34" t="s">
        <v>255</v>
      </c>
      <c r="E164" s="50" t="s">
        <v>616</v>
      </c>
    </row>
    <row r="165" spans="1:5" ht="12.75">
      <c r="A165" s="46" t="s">
        <v>556</v>
      </c>
      <c r="B165" s="34" t="s">
        <v>160</v>
      </c>
      <c r="C165" s="34" t="s">
        <v>604</v>
      </c>
      <c r="D165" s="34" t="s">
        <v>74</v>
      </c>
      <c r="E165" s="50" t="s">
        <v>617</v>
      </c>
    </row>
    <row r="166" spans="1:5" ht="12.75">
      <c r="A166" s="46" t="s">
        <v>518</v>
      </c>
      <c r="B166" s="34" t="s">
        <v>160</v>
      </c>
      <c r="C166" s="34" t="s">
        <v>290</v>
      </c>
      <c r="D166" s="34" t="s">
        <v>247</v>
      </c>
      <c r="E166" s="50" t="s">
        <v>618</v>
      </c>
    </row>
    <row r="167" spans="1:5" ht="12.75">
      <c r="A167" s="46" t="s">
        <v>524</v>
      </c>
      <c r="B167" s="34" t="s">
        <v>139</v>
      </c>
      <c r="C167" s="34" t="s">
        <v>290</v>
      </c>
      <c r="D167" s="34" t="s">
        <v>24</v>
      </c>
      <c r="E167" s="50" t="s">
        <v>619</v>
      </c>
    </row>
  </sheetData>
  <sheetProtection/>
  <mergeCells count="29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3:L13"/>
    <mergeCell ref="A17:L17"/>
    <mergeCell ref="A20:L20"/>
    <mergeCell ref="A23:L23"/>
    <mergeCell ref="A26:L26"/>
    <mergeCell ref="A30:L30"/>
    <mergeCell ref="A33:L33"/>
    <mergeCell ref="A76:L76"/>
    <mergeCell ref="A84:L84"/>
    <mergeCell ref="A89:L89"/>
    <mergeCell ref="A36:L36"/>
    <mergeCell ref="A40:L40"/>
    <mergeCell ref="A48:L48"/>
    <mergeCell ref="A51:L51"/>
    <mergeCell ref="A58:L58"/>
    <mergeCell ref="A72:L7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PageLayoutView="0" workbookViewId="0" topLeftCell="A1">
      <selection activeCell="A20" sqref="A20:L20"/>
    </sheetView>
  </sheetViews>
  <sheetFormatPr defaultColWidth="9.00390625" defaultRowHeight="12.75"/>
  <cols>
    <col min="1" max="1" width="30.25390625" style="6" bestFit="1" customWidth="1"/>
    <col min="2" max="2" width="26.875" style="5" bestFit="1" customWidth="1"/>
    <col min="3" max="3" width="7.75390625" style="5" bestFit="1" customWidth="1"/>
    <col min="4" max="4" width="6.875" style="5" bestFit="1" customWidth="1"/>
    <col min="5" max="5" width="17.25390625" style="8" bestFit="1" customWidth="1"/>
    <col min="6" max="6" width="29.875" style="8" bestFit="1" customWidth="1"/>
    <col min="7" max="9" width="5.625" style="5" bestFit="1" customWidth="1"/>
    <col min="10" max="10" width="4.875" style="5" bestFit="1" customWidth="1"/>
    <col min="11" max="11" width="6.75390625" style="6" bestFit="1" customWidth="1"/>
    <col min="12" max="12" width="8.625" style="5" bestFit="1" customWidth="1"/>
    <col min="13" max="13" width="7.375" style="8" bestFit="1" customWidth="1"/>
    <col min="14" max="16384" width="9.125" style="1" customWidth="1"/>
  </cols>
  <sheetData>
    <row r="1" spans="1:13" ht="42.75" customHeight="1">
      <c r="A1" s="62" t="s">
        <v>796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ht="42.75" customHeight="1" thickBo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s="7" customFormat="1" ht="42.75" customHeight="1">
      <c r="A3" s="58" t="s">
        <v>0</v>
      </c>
      <c r="B3" s="69" t="s">
        <v>12</v>
      </c>
      <c r="C3" s="69" t="s">
        <v>11</v>
      </c>
      <c r="D3" s="54" t="s">
        <v>1</v>
      </c>
      <c r="E3" s="54" t="s">
        <v>2</v>
      </c>
      <c r="F3" s="56" t="s">
        <v>3</v>
      </c>
      <c r="G3" s="58" t="s">
        <v>5</v>
      </c>
      <c r="H3" s="54"/>
      <c r="I3" s="54"/>
      <c r="J3" s="59"/>
      <c r="K3" s="52" t="s">
        <v>7</v>
      </c>
      <c r="L3" s="54" t="s">
        <v>9</v>
      </c>
      <c r="M3" s="59" t="s">
        <v>8</v>
      </c>
    </row>
    <row r="4" spans="1:13" s="7" customFormat="1" ht="42.75" customHeight="1" thickBot="1">
      <c r="A4" s="68"/>
      <c r="B4" s="55"/>
      <c r="C4" s="55"/>
      <c r="D4" s="55"/>
      <c r="E4" s="55"/>
      <c r="F4" s="57"/>
      <c r="G4" s="3">
        <v>1</v>
      </c>
      <c r="H4" s="2">
        <v>2</v>
      </c>
      <c r="I4" s="2">
        <v>3</v>
      </c>
      <c r="J4" s="4" t="s">
        <v>10</v>
      </c>
      <c r="K4" s="53"/>
      <c r="L4" s="55"/>
      <c r="M4" s="60"/>
    </row>
    <row r="5" spans="1:13" s="5" customFormat="1" ht="15">
      <c r="A5" s="70" t="s">
        <v>174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8"/>
    </row>
    <row r="6" spans="1:13" s="5" customFormat="1" ht="12.75">
      <c r="A6" s="9" t="s">
        <v>797</v>
      </c>
      <c r="B6" s="10" t="s">
        <v>798</v>
      </c>
      <c r="C6" s="10" t="s">
        <v>467</v>
      </c>
      <c r="D6" s="10" t="str">
        <f>"0,7668"</f>
        <v>0,7668</v>
      </c>
      <c r="E6" s="11" t="s">
        <v>431</v>
      </c>
      <c r="F6" s="11" t="s">
        <v>432</v>
      </c>
      <c r="G6" s="12" t="s">
        <v>47</v>
      </c>
      <c r="H6" s="10" t="s">
        <v>47</v>
      </c>
      <c r="I6" s="10" t="s">
        <v>321</v>
      </c>
      <c r="J6" s="12"/>
      <c r="K6" s="9">
        <v>182.5</v>
      </c>
      <c r="L6" s="10" t="str">
        <f>"139,9336"</f>
        <v>139,9336</v>
      </c>
      <c r="M6" s="11"/>
    </row>
    <row r="7" spans="1:13" s="5" customFormat="1" ht="12.75">
      <c r="A7" s="6"/>
      <c r="E7" s="8"/>
      <c r="F7" s="8"/>
      <c r="K7" s="6"/>
      <c r="M7" s="8"/>
    </row>
    <row r="8" spans="1:12" ht="15">
      <c r="A8" s="71" t="s">
        <v>79</v>
      </c>
      <c r="B8" s="72"/>
      <c r="C8" s="72"/>
      <c r="D8" s="72"/>
      <c r="E8" s="72"/>
      <c r="F8" s="72"/>
      <c r="G8" s="72"/>
      <c r="H8" s="72"/>
      <c r="I8" s="72"/>
      <c r="J8" s="72"/>
      <c r="K8" s="71"/>
      <c r="L8" s="72"/>
    </row>
    <row r="9" spans="1:13" ht="12.75">
      <c r="A9" s="9" t="s">
        <v>799</v>
      </c>
      <c r="B9" s="10" t="s">
        <v>800</v>
      </c>
      <c r="C9" s="10" t="s">
        <v>487</v>
      </c>
      <c r="D9" s="10" t="str">
        <f>"0,6448"</f>
        <v>0,6448</v>
      </c>
      <c r="E9" s="11" t="s">
        <v>44</v>
      </c>
      <c r="F9" s="11" t="s">
        <v>655</v>
      </c>
      <c r="G9" s="12" t="s">
        <v>105</v>
      </c>
      <c r="H9" s="12" t="s">
        <v>105</v>
      </c>
      <c r="I9" s="12" t="s">
        <v>105</v>
      </c>
      <c r="J9" s="12"/>
      <c r="K9" s="9">
        <v>0</v>
      </c>
      <c r="L9" s="10" t="str">
        <f>"0,0000"</f>
        <v>0,0000</v>
      </c>
      <c r="M9" s="11"/>
    </row>
    <row r="11" spans="1:12" ht="15">
      <c r="A11" s="71" t="s">
        <v>222</v>
      </c>
      <c r="B11" s="72"/>
      <c r="C11" s="72"/>
      <c r="D11" s="72"/>
      <c r="E11" s="72"/>
      <c r="F11" s="72"/>
      <c r="G11" s="72"/>
      <c r="H11" s="72"/>
      <c r="I11" s="72"/>
      <c r="J11" s="72"/>
      <c r="K11" s="71"/>
      <c r="L11" s="72"/>
    </row>
    <row r="12" spans="1:13" ht="12.75">
      <c r="A12" s="17" t="s">
        <v>801</v>
      </c>
      <c r="B12" s="14" t="s">
        <v>504</v>
      </c>
      <c r="C12" s="14" t="s">
        <v>505</v>
      </c>
      <c r="D12" s="14" t="str">
        <f>"0,5838"</f>
        <v>0,5838</v>
      </c>
      <c r="E12" s="18" t="s">
        <v>802</v>
      </c>
      <c r="F12" s="18" t="s">
        <v>262</v>
      </c>
      <c r="G12" s="14" t="s">
        <v>377</v>
      </c>
      <c r="H12" s="14" t="s">
        <v>366</v>
      </c>
      <c r="I12" s="19" t="s">
        <v>114</v>
      </c>
      <c r="J12" s="19"/>
      <c r="K12" s="17">
        <v>267.5</v>
      </c>
      <c r="L12" s="14" t="str">
        <f>"156,1665"</f>
        <v>156,1665</v>
      </c>
      <c r="M12" s="18"/>
    </row>
    <row r="13" spans="1:13" ht="12.75">
      <c r="A13" s="23" t="s">
        <v>803</v>
      </c>
      <c r="B13" s="16" t="s">
        <v>804</v>
      </c>
      <c r="C13" s="16" t="s">
        <v>511</v>
      </c>
      <c r="D13" s="16" t="str">
        <f>"0,5853"</f>
        <v>0,5853</v>
      </c>
      <c r="E13" s="24" t="s">
        <v>44</v>
      </c>
      <c r="F13" s="24" t="s">
        <v>805</v>
      </c>
      <c r="G13" s="16" t="s">
        <v>377</v>
      </c>
      <c r="H13" s="25" t="s">
        <v>366</v>
      </c>
      <c r="I13" s="25" t="s">
        <v>366</v>
      </c>
      <c r="J13" s="25"/>
      <c r="K13" s="23">
        <v>250</v>
      </c>
      <c r="L13" s="16" t="str">
        <f>"146,3375"</f>
        <v>146,3375</v>
      </c>
      <c r="M13" s="24"/>
    </row>
    <row r="14" spans="1:13" ht="12.75">
      <c r="A14" s="23" t="s">
        <v>806</v>
      </c>
      <c r="B14" s="16" t="s">
        <v>807</v>
      </c>
      <c r="C14" s="16" t="s">
        <v>728</v>
      </c>
      <c r="D14" s="16" t="str">
        <f>"0,5856"</f>
        <v>0,5856</v>
      </c>
      <c r="E14" s="24" t="s">
        <v>808</v>
      </c>
      <c r="F14" s="24" t="s">
        <v>197</v>
      </c>
      <c r="G14" s="25" t="s">
        <v>85</v>
      </c>
      <c r="H14" s="25" t="s">
        <v>134</v>
      </c>
      <c r="I14" s="16" t="s">
        <v>134</v>
      </c>
      <c r="J14" s="25"/>
      <c r="K14" s="23">
        <v>240</v>
      </c>
      <c r="L14" s="16" t="str">
        <f>"140,5440"</f>
        <v>140,5440</v>
      </c>
      <c r="M14" s="24"/>
    </row>
    <row r="15" spans="1:13" ht="12.75">
      <c r="A15" s="20" t="s">
        <v>809</v>
      </c>
      <c r="B15" s="15" t="s">
        <v>810</v>
      </c>
      <c r="C15" s="15" t="s">
        <v>228</v>
      </c>
      <c r="D15" s="15" t="str">
        <f>"0,5846"</f>
        <v>0,5846</v>
      </c>
      <c r="E15" s="21" t="s">
        <v>44</v>
      </c>
      <c r="F15" s="21" t="s">
        <v>197</v>
      </c>
      <c r="G15" s="15" t="s">
        <v>84</v>
      </c>
      <c r="H15" s="22" t="s">
        <v>85</v>
      </c>
      <c r="I15" s="15" t="s">
        <v>85</v>
      </c>
      <c r="J15" s="22"/>
      <c r="K15" s="20">
        <v>230</v>
      </c>
      <c r="L15" s="15" t="str">
        <f>"134,4465"</f>
        <v>134,4465</v>
      </c>
      <c r="M15" s="21"/>
    </row>
    <row r="17" spans="1:12" ht="15">
      <c r="A17" s="71" t="s">
        <v>107</v>
      </c>
      <c r="B17" s="72"/>
      <c r="C17" s="72"/>
      <c r="D17" s="72"/>
      <c r="E17" s="72"/>
      <c r="F17" s="72"/>
      <c r="G17" s="72"/>
      <c r="H17" s="72"/>
      <c r="I17" s="72"/>
      <c r="J17" s="72"/>
      <c r="K17" s="71"/>
      <c r="L17" s="72"/>
    </row>
    <row r="18" spans="1:13" ht="12.75">
      <c r="A18" s="9" t="s">
        <v>811</v>
      </c>
      <c r="B18" s="10" t="s">
        <v>812</v>
      </c>
      <c r="C18" s="10" t="s">
        <v>813</v>
      </c>
      <c r="D18" s="10" t="str">
        <f>"0,5637"</f>
        <v>0,5637</v>
      </c>
      <c r="E18" s="11" t="s">
        <v>44</v>
      </c>
      <c r="F18" s="11" t="s">
        <v>197</v>
      </c>
      <c r="G18" s="10" t="s">
        <v>134</v>
      </c>
      <c r="H18" s="10" t="s">
        <v>377</v>
      </c>
      <c r="I18" s="12" t="s">
        <v>113</v>
      </c>
      <c r="J18" s="12"/>
      <c r="K18" s="9">
        <v>250</v>
      </c>
      <c r="L18" s="10" t="str">
        <f>"140,9125"</f>
        <v>140,9125</v>
      </c>
      <c r="M18" s="11"/>
    </row>
    <row r="20" spans="1:12" ht="15">
      <c r="A20" s="71" t="s">
        <v>272</v>
      </c>
      <c r="B20" s="72"/>
      <c r="C20" s="72"/>
      <c r="D20" s="72"/>
      <c r="E20" s="72"/>
      <c r="F20" s="72"/>
      <c r="G20" s="72"/>
      <c r="H20" s="72"/>
      <c r="I20" s="72"/>
      <c r="J20" s="72"/>
      <c r="K20" s="71"/>
      <c r="L20" s="72"/>
    </row>
    <row r="21" spans="1:13" ht="12.75">
      <c r="A21" s="9" t="s">
        <v>814</v>
      </c>
      <c r="B21" s="10" t="s">
        <v>815</v>
      </c>
      <c r="C21" s="10" t="s">
        <v>816</v>
      </c>
      <c r="D21" s="10" t="str">
        <f>"0,5627"</f>
        <v>0,5627</v>
      </c>
      <c r="E21" s="11" t="s">
        <v>808</v>
      </c>
      <c r="F21" s="11" t="s">
        <v>197</v>
      </c>
      <c r="G21" s="10" t="s">
        <v>84</v>
      </c>
      <c r="H21" s="10" t="s">
        <v>77</v>
      </c>
      <c r="I21" s="12" t="s">
        <v>85</v>
      </c>
      <c r="J21" s="12"/>
      <c r="K21" s="9">
        <v>225</v>
      </c>
      <c r="L21" s="10" t="str">
        <f>"126,6004"</f>
        <v>126,6004</v>
      </c>
      <c r="M21" s="11"/>
    </row>
    <row r="23" ht="15">
      <c r="E23" s="26" t="s">
        <v>118</v>
      </c>
    </row>
    <row r="24" ht="15">
      <c r="E24" s="26" t="s">
        <v>119</v>
      </c>
    </row>
    <row r="25" ht="15">
      <c r="E25" s="26" t="s">
        <v>120</v>
      </c>
    </row>
    <row r="26" ht="12.75">
      <c r="E26" s="8" t="s">
        <v>121</v>
      </c>
    </row>
    <row r="27" ht="12.75">
      <c r="E27" s="8" t="s">
        <v>122</v>
      </c>
    </row>
    <row r="28" ht="12.75">
      <c r="E28" s="8" t="s">
        <v>123</v>
      </c>
    </row>
    <row r="31" spans="1:2" ht="18">
      <c r="A31" s="27" t="s">
        <v>124</v>
      </c>
      <c r="B31" s="28"/>
    </row>
    <row r="32" spans="1:2" ht="15">
      <c r="A32" s="29" t="s">
        <v>145</v>
      </c>
      <c r="B32" s="13"/>
    </row>
    <row r="33" spans="1:2" ht="14.25">
      <c r="A33" s="31" t="s">
        <v>126</v>
      </c>
      <c r="B33" s="32"/>
    </row>
    <row r="34" spans="1:5" ht="15">
      <c r="A34" s="33" t="s">
        <v>0</v>
      </c>
      <c r="B34" s="33" t="s">
        <v>127</v>
      </c>
      <c r="C34" s="33" t="s">
        <v>128</v>
      </c>
      <c r="D34" s="33" t="s">
        <v>7</v>
      </c>
      <c r="E34" s="33" t="s">
        <v>129</v>
      </c>
    </row>
    <row r="35" spans="1:5" ht="12.75">
      <c r="A35" s="30" t="s">
        <v>801</v>
      </c>
      <c r="B35" s="5" t="s">
        <v>126</v>
      </c>
      <c r="C35" s="5" t="s">
        <v>290</v>
      </c>
      <c r="D35" s="5" t="s">
        <v>366</v>
      </c>
      <c r="E35" s="6" t="s">
        <v>817</v>
      </c>
    </row>
    <row r="36" spans="1:5" ht="12.75">
      <c r="A36" s="30" t="s">
        <v>803</v>
      </c>
      <c r="B36" s="5" t="s">
        <v>126</v>
      </c>
      <c r="C36" s="5" t="s">
        <v>290</v>
      </c>
      <c r="D36" s="5" t="s">
        <v>377</v>
      </c>
      <c r="E36" s="6" t="s">
        <v>818</v>
      </c>
    </row>
    <row r="37" spans="1:5" ht="12.75">
      <c r="A37" s="30" t="s">
        <v>811</v>
      </c>
      <c r="B37" s="5" t="s">
        <v>126</v>
      </c>
      <c r="C37" s="5" t="s">
        <v>156</v>
      </c>
      <c r="D37" s="5" t="s">
        <v>377</v>
      </c>
      <c r="E37" s="6" t="s">
        <v>819</v>
      </c>
    </row>
    <row r="38" spans="1:5" ht="12.75">
      <c r="A38" s="30" t="s">
        <v>806</v>
      </c>
      <c r="B38" s="5" t="s">
        <v>126</v>
      </c>
      <c r="C38" s="5" t="s">
        <v>290</v>
      </c>
      <c r="D38" s="5" t="s">
        <v>134</v>
      </c>
      <c r="E38" s="6" t="s">
        <v>820</v>
      </c>
    </row>
    <row r="39" spans="1:5" ht="12.75">
      <c r="A39" s="30" t="s">
        <v>809</v>
      </c>
      <c r="B39" s="5" t="s">
        <v>126</v>
      </c>
      <c r="C39" s="5" t="s">
        <v>290</v>
      </c>
      <c r="D39" s="5" t="s">
        <v>85</v>
      </c>
      <c r="E39" s="6" t="s">
        <v>821</v>
      </c>
    </row>
    <row r="41" spans="1:2" ht="14.25">
      <c r="A41" s="31" t="s">
        <v>138</v>
      </c>
      <c r="B41" s="32"/>
    </row>
    <row r="42" spans="1:5" ht="15">
      <c r="A42" s="33" t="s">
        <v>0</v>
      </c>
      <c r="B42" s="33" t="s">
        <v>127</v>
      </c>
      <c r="C42" s="33" t="s">
        <v>128</v>
      </c>
      <c r="D42" s="33" t="s">
        <v>7</v>
      </c>
      <c r="E42" s="33" t="s">
        <v>129</v>
      </c>
    </row>
    <row r="43" spans="1:5" ht="12.75">
      <c r="A43" s="30" t="s">
        <v>797</v>
      </c>
      <c r="B43" s="5" t="s">
        <v>307</v>
      </c>
      <c r="C43" s="5" t="s">
        <v>278</v>
      </c>
      <c r="D43" s="5" t="s">
        <v>321</v>
      </c>
      <c r="E43" s="6" t="s">
        <v>822</v>
      </c>
    </row>
    <row r="44" spans="1:5" ht="12.75">
      <c r="A44" s="30" t="s">
        <v>814</v>
      </c>
      <c r="B44" s="5" t="s">
        <v>160</v>
      </c>
      <c r="C44" s="5" t="s">
        <v>312</v>
      </c>
      <c r="D44" s="5" t="s">
        <v>77</v>
      </c>
      <c r="E44" s="6" t="s">
        <v>823</v>
      </c>
    </row>
  </sheetData>
  <sheetProtection/>
  <mergeCells count="16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1:L11"/>
    <mergeCell ref="A17:L17"/>
    <mergeCell ref="A20:L20"/>
  </mergeCells>
  <printOptions/>
  <pageMargins left="0.19" right="0.47" top="0.45" bottom="0.49" header="0.5" footer="0.5"/>
  <pageSetup fitToHeight="100" fitToWidth="1" horizontalDpi="300" verticalDpi="300" orientation="landscape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27.00390625" style="34" bestFit="1" customWidth="1"/>
    <col min="2" max="2" width="26.875" style="34" bestFit="1" customWidth="1"/>
    <col min="3" max="3" width="7.75390625" style="34" bestFit="1" customWidth="1"/>
    <col min="4" max="4" width="6.875" style="34" bestFit="1" customWidth="1"/>
    <col min="5" max="5" width="17.25390625" style="34" bestFit="1" customWidth="1"/>
    <col min="6" max="6" width="28.125" style="34" bestFit="1" customWidth="1"/>
    <col min="7" max="7" width="5.625" style="34" bestFit="1" customWidth="1"/>
    <col min="8" max="8" width="7.625" style="34" bestFit="1" customWidth="1"/>
    <col min="9" max="9" width="2.125" style="34" bestFit="1" customWidth="1"/>
    <col min="10" max="10" width="4.875" style="34" bestFit="1" customWidth="1"/>
    <col min="11" max="11" width="6.75390625" style="34" bestFit="1" customWidth="1"/>
    <col min="12" max="12" width="9.625" style="34" bestFit="1" customWidth="1"/>
    <col min="13" max="13" width="7.375" style="34" bestFit="1" customWidth="1"/>
  </cols>
  <sheetData>
    <row r="1" spans="1:13" s="1" customFormat="1" ht="42" customHeight="1">
      <c r="A1" s="62" t="s">
        <v>907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s="1" customFormat="1" ht="42" customHeight="1" thickBo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s="7" customFormat="1" ht="42" customHeight="1">
      <c r="A3" s="58" t="s">
        <v>0</v>
      </c>
      <c r="B3" s="69" t="s">
        <v>825</v>
      </c>
      <c r="C3" s="69" t="s">
        <v>11</v>
      </c>
      <c r="D3" s="54" t="s">
        <v>1</v>
      </c>
      <c r="E3" s="54" t="s">
        <v>2</v>
      </c>
      <c r="F3" s="56" t="s">
        <v>3</v>
      </c>
      <c r="G3" s="54" t="s">
        <v>5</v>
      </c>
      <c r="H3" s="54"/>
      <c r="I3" s="54"/>
      <c r="J3" s="54"/>
      <c r="K3" s="54" t="s">
        <v>7</v>
      </c>
      <c r="L3" s="54" t="s">
        <v>9</v>
      </c>
      <c r="M3" s="59" t="s">
        <v>8</v>
      </c>
    </row>
    <row r="4" spans="1:13" s="7" customFormat="1" ht="42" customHeight="1" thickBot="1">
      <c r="A4" s="68"/>
      <c r="B4" s="55"/>
      <c r="C4" s="55"/>
      <c r="D4" s="55"/>
      <c r="E4" s="55"/>
      <c r="F4" s="57"/>
      <c r="G4" s="2" t="s">
        <v>826</v>
      </c>
      <c r="H4" s="2" t="s">
        <v>827</v>
      </c>
      <c r="I4" s="2">
        <v>3</v>
      </c>
      <c r="J4" s="4" t="s">
        <v>10</v>
      </c>
      <c r="K4" s="55"/>
      <c r="L4" s="55"/>
      <c r="M4" s="60"/>
    </row>
    <row r="5" spans="1:12" ht="15">
      <c r="A5" s="61" t="s">
        <v>166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3" ht="12.75">
      <c r="A6" s="35" t="s">
        <v>908</v>
      </c>
      <c r="B6" s="35" t="s">
        <v>909</v>
      </c>
      <c r="C6" s="35" t="s">
        <v>412</v>
      </c>
      <c r="D6" s="35" t="str">
        <f>"1,0484"</f>
        <v>1,0484</v>
      </c>
      <c r="E6" s="35" t="s">
        <v>44</v>
      </c>
      <c r="F6" s="35" t="s">
        <v>413</v>
      </c>
      <c r="G6" s="35" t="s">
        <v>23</v>
      </c>
      <c r="H6" s="35" t="s">
        <v>910</v>
      </c>
      <c r="I6" s="36"/>
      <c r="J6" s="36"/>
      <c r="K6" s="35">
        <v>1035</v>
      </c>
      <c r="L6" s="35" t="str">
        <f>"1085,0940"</f>
        <v>1085,0940</v>
      </c>
      <c r="M6" s="35"/>
    </row>
    <row r="8" spans="1:12" ht="15">
      <c r="A8" s="51" t="s">
        <v>59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3" ht="12.75">
      <c r="A9" s="35" t="s">
        <v>446</v>
      </c>
      <c r="B9" s="35" t="s">
        <v>911</v>
      </c>
      <c r="C9" s="35" t="s">
        <v>448</v>
      </c>
      <c r="D9" s="35" t="str">
        <f>"0,9875"</f>
        <v>0,9875</v>
      </c>
      <c r="E9" s="35" t="s">
        <v>44</v>
      </c>
      <c r="F9" s="35" t="s">
        <v>449</v>
      </c>
      <c r="G9" s="35" t="s">
        <v>323</v>
      </c>
      <c r="H9" s="35" t="s">
        <v>912</v>
      </c>
      <c r="I9" s="36"/>
      <c r="J9" s="36"/>
      <c r="K9" s="35">
        <v>630</v>
      </c>
      <c r="L9" s="35" t="str">
        <f>"622,1250"</f>
        <v>622,1250</v>
      </c>
      <c r="M9" s="35"/>
    </row>
    <row r="11" spans="1:12" ht="15">
      <c r="A11" s="51" t="s">
        <v>40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pans="1:13" ht="12.75">
      <c r="A12" s="35" t="s">
        <v>913</v>
      </c>
      <c r="B12" s="35" t="s">
        <v>914</v>
      </c>
      <c r="C12" s="35" t="s">
        <v>915</v>
      </c>
      <c r="D12" s="35" t="str">
        <f>"0,7775"</f>
        <v>0,7775</v>
      </c>
      <c r="E12" s="35" t="s">
        <v>44</v>
      </c>
      <c r="F12" s="35" t="s">
        <v>197</v>
      </c>
      <c r="G12" s="36" t="s">
        <v>58</v>
      </c>
      <c r="H12" s="36"/>
      <c r="I12" s="36"/>
      <c r="J12" s="36"/>
      <c r="K12" s="35">
        <v>0</v>
      </c>
      <c r="L12" s="35" t="str">
        <f>"0,0000"</f>
        <v>0,0000</v>
      </c>
      <c r="M12" s="35"/>
    </row>
    <row r="14" spans="1:12" ht="15">
      <c r="A14" s="51" t="s">
        <v>174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</row>
    <row r="15" spans="1:13" ht="12.75">
      <c r="A15" s="37" t="s">
        <v>474</v>
      </c>
      <c r="B15" s="37" t="s">
        <v>475</v>
      </c>
      <c r="C15" s="37" t="s">
        <v>476</v>
      </c>
      <c r="D15" s="37" t="str">
        <f>"0,7071"</f>
        <v>0,7071</v>
      </c>
      <c r="E15" s="37" t="s">
        <v>44</v>
      </c>
      <c r="F15" s="37" t="s">
        <v>197</v>
      </c>
      <c r="G15" s="37" t="s">
        <v>414</v>
      </c>
      <c r="H15" s="37" t="s">
        <v>916</v>
      </c>
      <c r="I15" s="38"/>
      <c r="J15" s="38"/>
      <c r="K15" s="37">
        <v>2827.5</v>
      </c>
      <c r="L15" s="37" t="str">
        <f>"1999,3252"</f>
        <v>1999,3252</v>
      </c>
      <c r="M15" s="37"/>
    </row>
    <row r="16" spans="1:13" ht="12.75">
      <c r="A16" s="39" t="s">
        <v>470</v>
      </c>
      <c r="B16" s="39" t="s">
        <v>471</v>
      </c>
      <c r="C16" s="39" t="s">
        <v>472</v>
      </c>
      <c r="D16" s="39" t="str">
        <f>"0,7019"</f>
        <v>0,7019</v>
      </c>
      <c r="E16" s="39" t="s">
        <v>44</v>
      </c>
      <c r="F16" s="39" t="s">
        <v>473</v>
      </c>
      <c r="G16" s="39" t="s">
        <v>48</v>
      </c>
      <c r="H16" s="39" t="s">
        <v>858</v>
      </c>
      <c r="I16" s="40"/>
      <c r="J16" s="40"/>
      <c r="K16" s="39">
        <v>2025</v>
      </c>
      <c r="L16" s="39" t="str">
        <f>"1421,3475"</f>
        <v>1421,3475</v>
      </c>
      <c r="M16" s="39"/>
    </row>
    <row r="17" spans="1:13" ht="12.75">
      <c r="A17" s="39" t="s">
        <v>477</v>
      </c>
      <c r="B17" s="39" t="s">
        <v>478</v>
      </c>
      <c r="C17" s="39" t="s">
        <v>479</v>
      </c>
      <c r="D17" s="39" t="str">
        <f>"0,7051"</f>
        <v>0,7051</v>
      </c>
      <c r="E17" s="39" t="s">
        <v>808</v>
      </c>
      <c r="F17" s="39" t="s">
        <v>197</v>
      </c>
      <c r="G17" s="39" t="s">
        <v>48</v>
      </c>
      <c r="H17" s="39" t="s">
        <v>867</v>
      </c>
      <c r="I17" s="40"/>
      <c r="J17" s="40"/>
      <c r="K17" s="39">
        <v>2550</v>
      </c>
      <c r="L17" s="39" t="str">
        <f>"1797,9413"</f>
        <v>1797,9413</v>
      </c>
      <c r="M17" s="39"/>
    </row>
    <row r="18" spans="1:13" ht="12.75">
      <c r="A18" s="41" t="s">
        <v>917</v>
      </c>
      <c r="B18" s="41" t="s">
        <v>918</v>
      </c>
      <c r="C18" s="41" t="s">
        <v>919</v>
      </c>
      <c r="D18" s="41" t="str">
        <f>"0,9667"</f>
        <v>0,9667</v>
      </c>
      <c r="E18" s="41" t="s">
        <v>431</v>
      </c>
      <c r="F18" s="41" t="s">
        <v>432</v>
      </c>
      <c r="G18" s="41" t="s">
        <v>48</v>
      </c>
      <c r="H18" s="41" t="s">
        <v>920</v>
      </c>
      <c r="I18" s="42"/>
      <c r="J18" s="42"/>
      <c r="K18" s="41">
        <v>1200</v>
      </c>
      <c r="L18" s="41" t="str">
        <f>"1160,0904"</f>
        <v>1160,0904</v>
      </c>
      <c r="M18" s="41"/>
    </row>
    <row r="20" spans="1:12" ht="15">
      <c r="A20" s="51" t="s">
        <v>222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</row>
    <row r="21" spans="1:13" ht="12.75">
      <c r="A21" s="35" t="s">
        <v>921</v>
      </c>
      <c r="B21" s="35" t="s">
        <v>922</v>
      </c>
      <c r="C21" s="35" t="s">
        <v>923</v>
      </c>
      <c r="D21" s="35" t="str">
        <f>"0,6029"</f>
        <v>0,6029</v>
      </c>
      <c r="E21" s="35" t="s">
        <v>44</v>
      </c>
      <c r="F21" s="35" t="s">
        <v>197</v>
      </c>
      <c r="G21" s="35" t="s">
        <v>335</v>
      </c>
      <c r="H21" s="35" t="s">
        <v>867</v>
      </c>
      <c r="I21" s="36"/>
      <c r="J21" s="36"/>
      <c r="K21" s="35">
        <v>3145</v>
      </c>
      <c r="L21" s="35" t="str">
        <f>"1896,2777"</f>
        <v>1896,2777</v>
      </c>
      <c r="M21" s="35"/>
    </row>
    <row r="23" spans="1:12" ht="15">
      <c r="A23" s="51" t="s">
        <v>328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</row>
    <row r="24" spans="1:13" ht="12.75">
      <c r="A24" s="35" t="s">
        <v>556</v>
      </c>
      <c r="B24" s="35" t="s">
        <v>557</v>
      </c>
      <c r="C24" s="35" t="s">
        <v>558</v>
      </c>
      <c r="D24" s="35" t="str">
        <f>"0,5542"</f>
        <v>0,5542</v>
      </c>
      <c r="E24" s="35" t="s">
        <v>44</v>
      </c>
      <c r="F24" s="35" t="s">
        <v>559</v>
      </c>
      <c r="G24" s="35" t="s">
        <v>455</v>
      </c>
      <c r="H24" s="35" t="s">
        <v>924</v>
      </c>
      <c r="I24" s="36"/>
      <c r="J24" s="36"/>
      <c r="K24" s="35">
        <v>1275</v>
      </c>
      <c r="L24" s="35" t="str">
        <f>"706,6527"</f>
        <v>706,6527</v>
      </c>
      <c r="M24" s="35"/>
    </row>
    <row r="26" spans="1:12" ht="15">
      <c r="A26" s="51" t="s">
        <v>564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</row>
    <row r="27" spans="1:13" ht="12.75">
      <c r="A27" s="37" t="s">
        <v>925</v>
      </c>
      <c r="B27" s="37" t="s">
        <v>926</v>
      </c>
      <c r="C27" s="37" t="s">
        <v>927</v>
      </c>
      <c r="D27" s="37" t="str">
        <f>"0,5293"</f>
        <v>0,5293</v>
      </c>
      <c r="E27" s="37" t="s">
        <v>808</v>
      </c>
      <c r="F27" s="37" t="s">
        <v>197</v>
      </c>
      <c r="G27" s="37" t="s">
        <v>106</v>
      </c>
      <c r="H27" s="37" t="s">
        <v>912</v>
      </c>
      <c r="I27" s="38"/>
      <c r="J27" s="38"/>
      <c r="K27" s="37">
        <v>1710</v>
      </c>
      <c r="L27" s="37" t="str">
        <f>"905,0260"</f>
        <v>905,0260</v>
      </c>
      <c r="M27" s="37"/>
    </row>
    <row r="28" spans="1:13" ht="12.75">
      <c r="A28" s="41" t="s">
        <v>925</v>
      </c>
      <c r="B28" s="41" t="s">
        <v>928</v>
      </c>
      <c r="C28" s="41" t="s">
        <v>927</v>
      </c>
      <c r="D28" s="41" t="str">
        <f>"0,6595"</f>
        <v>0,6595</v>
      </c>
      <c r="E28" s="41" t="s">
        <v>808</v>
      </c>
      <c r="F28" s="41" t="s">
        <v>197</v>
      </c>
      <c r="G28" s="41" t="s">
        <v>106</v>
      </c>
      <c r="H28" s="41" t="s">
        <v>912</v>
      </c>
      <c r="I28" s="42"/>
      <c r="J28" s="42"/>
      <c r="K28" s="41">
        <v>1710</v>
      </c>
      <c r="L28" s="41" t="str">
        <f>"1127,6624"</f>
        <v>1127,6624</v>
      </c>
      <c r="M28" s="41"/>
    </row>
    <row r="30" ht="15">
      <c r="E30" s="43" t="s">
        <v>118</v>
      </c>
    </row>
    <row r="31" ht="15">
      <c r="E31" s="43" t="s">
        <v>119</v>
      </c>
    </row>
    <row r="32" ht="15">
      <c r="E32" s="43" t="s">
        <v>120</v>
      </c>
    </row>
    <row r="33" ht="12.75">
      <c r="E33" s="34" t="s">
        <v>121</v>
      </c>
    </row>
    <row r="34" ht="12.75">
      <c r="E34" s="34" t="s">
        <v>122</v>
      </c>
    </row>
    <row r="35" ht="12.75">
      <c r="E35" s="34" t="s">
        <v>123</v>
      </c>
    </row>
    <row r="38" spans="1:2" ht="18">
      <c r="A38" s="44" t="s">
        <v>124</v>
      </c>
      <c r="B38" s="44"/>
    </row>
    <row r="39" spans="1:2" ht="15">
      <c r="A39" s="45" t="s">
        <v>125</v>
      </c>
      <c r="B39" s="45"/>
    </row>
    <row r="40" spans="1:2" ht="14.25">
      <c r="A40" s="47" t="s">
        <v>146</v>
      </c>
      <c r="B40" s="48"/>
    </row>
    <row r="41" spans="1:5" ht="15">
      <c r="A41" s="49" t="s">
        <v>0</v>
      </c>
      <c r="B41" s="49" t="s">
        <v>127</v>
      </c>
      <c r="C41" s="49" t="s">
        <v>128</v>
      </c>
      <c r="D41" s="49" t="s">
        <v>7</v>
      </c>
      <c r="E41" s="49" t="s">
        <v>129</v>
      </c>
    </row>
    <row r="42" spans="1:5" ht="12.75">
      <c r="A42" s="46" t="s">
        <v>908</v>
      </c>
      <c r="B42" s="34" t="s">
        <v>147</v>
      </c>
      <c r="C42" s="34" t="s">
        <v>283</v>
      </c>
      <c r="D42" s="34" t="s">
        <v>929</v>
      </c>
      <c r="E42" s="50" t="s">
        <v>930</v>
      </c>
    </row>
    <row r="45" spans="1:2" ht="15">
      <c r="A45" s="45" t="s">
        <v>145</v>
      </c>
      <c r="B45" s="45"/>
    </row>
    <row r="46" spans="1:2" ht="14.25">
      <c r="A46" s="47" t="s">
        <v>126</v>
      </c>
      <c r="B46" s="48"/>
    </row>
    <row r="47" spans="1:5" ht="15">
      <c r="A47" s="49" t="s">
        <v>0</v>
      </c>
      <c r="B47" s="49" t="s">
        <v>127</v>
      </c>
      <c r="C47" s="49" t="s">
        <v>128</v>
      </c>
      <c r="D47" s="49" t="s">
        <v>7</v>
      </c>
      <c r="E47" s="49" t="s">
        <v>129</v>
      </c>
    </row>
    <row r="48" spans="1:5" ht="12.75">
      <c r="A48" s="46" t="s">
        <v>474</v>
      </c>
      <c r="B48" s="34" t="s">
        <v>126</v>
      </c>
      <c r="C48" s="34" t="s">
        <v>278</v>
      </c>
      <c r="D48" s="34" t="s">
        <v>931</v>
      </c>
      <c r="E48" s="50" t="s">
        <v>932</v>
      </c>
    </row>
    <row r="49" spans="1:5" ht="12.75">
      <c r="A49" s="46" t="s">
        <v>921</v>
      </c>
      <c r="B49" s="34" t="s">
        <v>126</v>
      </c>
      <c r="C49" s="34" t="s">
        <v>290</v>
      </c>
      <c r="D49" s="34" t="s">
        <v>933</v>
      </c>
      <c r="E49" s="50" t="s">
        <v>934</v>
      </c>
    </row>
    <row r="50" spans="1:5" ht="12.75">
      <c r="A50" s="46" t="s">
        <v>470</v>
      </c>
      <c r="B50" s="34" t="s">
        <v>126</v>
      </c>
      <c r="C50" s="34" t="s">
        <v>278</v>
      </c>
      <c r="D50" s="34" t="s">
        <v>935</v>
      </c>
      <c r="E50" s="50" t="s">
        <v>936</v>
      </c>
    </row>
    <row r="51" spans="1:5" ht="12.75">
      <c r="A51" s="46" t="s">
        <v>925</v>
      </c>
      <c r="B51" s="34" t="s">
        <v>126</v>
      </c>
      <c r="C51" s="34" t="s">
        <v>596</v>
      </c>
      <c r="D51" s="34" t="s">
        <v>937</v>
      </c>
      <c r="E51" s="50" t="s">
        <v>938</v>
      </c>
    </row>
    <row r="52" spans="1:5" ht="12.75">
      <c r="A52" s="46" t="s">
        <v>446</v>
      </c>
      <c r="B52" s="34" t="s">
        <v>126</v>
      </c>
      <c r="C52" s="34" t="s">
        <v>163</v>
      </c>
      <c r="D52" s="34" t="s">
        <v>939</v>
      </c>
      <c r="E52" s="50" t="s">
        <v>940</v>
      </c>
    </row>
    <row r="54" spans="1:2" ht="14.25">
      <c r="A54" s="47" t="s">
        <v>138</v>
      </c>
      <c r="B54" s="48"/>
    </row>
    <row r="55" spans="1:5" ht="15">
      <c r="A55" s="49" t="s">
        <v>0</v>
      </c>
      <c r="B55" s="49" t="s">
        <v>127</v>
      </c>
      <c r="C55" s="49" t="s">
        <v>128</v>
      </c>
      <c r="D55" s="49" t="s">
        <v>7</v>
      </c>
      <c r="E55" s="49" t="s">
        <v>129</v>
      </c>
    </row>
    <row r="56" spans="1:5" ht="12.75">
      <c r="A56" s="46" t="s">
        <v>477</v>
      </c>
      <c r="B56" s="34" t="s">
        <v>160</v>
      </c>
      <c r="C56" s="34" t="s">
        <v>278</v>
      </c>
      <c r="D56" s="34" t="s">
        <v>941</v>
      </c>
      <c r="E56" s="50" t="s">
        <v>942</v>
      </c>
    </row>
    <row r="57" spans="1:5" ht="12.75">
      <c r="A57" s="46" t="s">
        <v>917</v>
      </c>
      <c r="B57" s="34" t="s">
        <v>606</v>
      </c>
      <c r="C57" s="34" t="s">
        <v>278</v>
      </c>
      <c r="D57" s="34" t="s">
        <v>943</v>
      </c>
      <c r="E57" s="50" t="s">
        <v>944</v>
      </c>
    </row>
    <row r="58" spans="1:5" ht="12.75">
      <c r="A58" s="46" t="s">
        <v>925</v>
      </c>
      <c r="B58" s="34" t="s">
        <v>303</v>
      </c>
      <c r="C58" s="34" t="s">
        <v>596</v>
      </c>
      <c r="D58" s="34" t="s">
        <v>937</v>
      </c>
      <c r="E58" s="50" t="s">
        <v>945</v>
      </c>
    </row>
    <row r="59" spans="1:5" ht="12.75">
      <c r="A59" s="46" t="s">
        <v>556</v>
      </c>
      <c r="B59" s="34" t="s">
        <v>160</v>
      </c>
      <c r="C59" s="34" t="s">
        <v>604</v>
      </c>
      <c r="D59" s="34" t="s">
        <v>946</v>
      </c>
      <c r="E59" s="50" t="s">
        <v>947</v>
      </c>
    </row>
  </sheetData>
  <sheetProtection/>
  <mergeCells count="18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A23:L23"/>
    <mergeCell ref="A26:L26"/>
    <mergeCell ref="M3:M4"/>
    <mergeCell ref="A5:L5"/>
    <mergeCell ref="A8:L8"/>
    <mergeCell ref="A11:L11"/>
    <mergeCell ref="A14:L14"/>
    <mergeCell ref="A20:L2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0">
      <selection activeCell="A1" sqref="A1:M2"/>
    </sheetView>
  </sheetViews>
  <sheetFormatPr defaultColWidth="9.00390625" defaultRowHeight="12.75"/>
  <cols>
    <col min="1" max="1" width="27.00390625" style="34" bestFit="1" customWidth="1"/>
    <col min="2" max="2" width="30.875" style="34" bestFit="1" customWidth="1"/>
    <col min="3" max="3" width="7.75390625" style="34" bestFit="1" customWidth="1"/>
    <col min="4" max="4" width="6.875" style="34" bestFit="1" customWidth="1"/>
    <col min="5" max="5" width="17.25390625" style="34" bestFit="1" customWidth="1"/>
    <col min="6" max="6" width="37.125" style="34" bestFit="1" customWidth="1"/>
    <col min="7" max="9" width="5.625" style="34" bestFit="1" customWidth="1"/>
    <col min="10" max="10" width="4.875" style="34" bestFit="1" customWidth="1"/>
    <col min="11" max="11" width="6.75390625" style="34" bestFit="1" customWidth="1"/>
    <col min="12" max="12" width="8.625" style="34" bestFit="1" customWidth="1"/>
    <col min="13" max="13" width="14.75390625" style="34" bestFit="1" customWidth="1"/>
  </cols>
  <sheetData>
    <row r="1" spans="1:13" s="1" customFormat="1" ht="48" customHeight="1">
      <c r="A1" s="62" t="s">
        <v>764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s="1" customFormat="1" ht="48" customHeight="1" thickBo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s="7" customFormat="1" ht="48" customHeight="1">
      <c r="A3" s="58" t="s">
        <v>0</v>
      </c>
      <c r="B3" s="69" t="s">
        <v>12</v>
      </c>
      <c r="C3" s="69" t="s">
        <v>11</v>
      </c>
      <c r="D3" s="54" t="s">
        <v>1</v>
      </c>
      <c r="E3" s="54" t="s">
        <v>2</v>
      </c>
      <c r="F3" s="56" t="s">
        <v>3</v>
      </c>
      <c r="G3" s="58" t="s">
        <v>6</v>
      </c>
      <c r="H3" s="54"/>
      <c r="I3" s="54"/>
      <c r="J3" s="59"/>
      <c r="K3" s="52" t="s">
        <v>7</v>
      </c>
      <c r="L3" s="54" t="s">
        <v>9</v>
      </c>
      <c r="M3" s="59" t="s">
        <v>8</v>
      </c>
    </row>
    <row r="4" spans="1:13" s="7" customFormat="1" ht="48" customHeight="1" thickBot="1">
      <c r="A4" s="68"/>
      <c r="B4" s="55"/>
      <c r="C4" s="55"/>
      <c r="D4" s="55"/>
      <c r="E4" s="55"/>
      <c r="F4" s="57"/>
      <c r="G4" s="3">
        <v>1</v>
      </c>
      <c r="H4" s="2">
        <v>2</v>
      </c>
      <c r="I4" s="2">
        <v>3</v>
      </c>
      <c r="J4" s="4" t="s">
        <v>10</v>
      </c>
      <c r="K4" s="53"/>
      <c r="L4" s="55"/>
      <c r="M4" s="60"/>
    </row>
    <row r="5" spans="1:12" ht="15">
      <c r="A5" s="61" t="s">
        <v>166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3" ht="12.75">
      <c r="A6" s="35" t="s">
        <v>702</v>
      </c>
      <c r="B6" s="35" t="s">
        <v>703</v>
      </c>
      <c r="C6" s="35" t="s">
        <v>704</v>
      </c>
      <c r="D6" s="35" t="str">
        <f>"0,9263"</f>
        <v>0,9263</v>
      </c>
      <c r="E6" s="35" t="s">
        <v>44</v>
      </c>
      <c r="F6" s="35" t="s">
        <v>197</v>
      </c>
      <c r="G6" s="35" t="s">
        <v>414</v>
      </c>
      <c r="H6" s="35" t="s">
        <v>49</v>
      </c>
      <c r="I6" s="35" t="s">
        <v>334</v>
      </c>
      <c r="J6" s="36"/>
      <c r="K6" s="35">
        <v>85</v>
      </c>
      <c r="L6" s="35" t="str">
        <f>"78,7355"</f>
        <v>78,7355</v>
      </c>
      <c r="M6" s="35"/>
    </row>
    <row r="8" spans="1:12" ht="15">
      <c r="A8" s="51" t="s">
        <v>35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3" ht="12.75">
      <c r="A9" s="37" t="s">
        <v>705</v>
      </c>
      <c r="B9" s="37" t="s">
        <v>706</v>
      </c>
      <c r="C9" s="37" t="s">
        <v>707</v>
      </c>
      <c r="D9" s="37" t="str">
        <f>"0,8750"</f>
        <v>0,8750</v>
      </c>
      <c r="E9" s="37" t="s">
        <v>44</v>
      </c>
      <c r="F9" s="37" t="s">
        <v>197</v>
      </c>
      <c r="G9" s="37" t="s">
        <v>19</v>
      </c>
      <c r="H9" s="37" t="s">
        <v>24</v>
      </c>
      <c r="I9" s="37" t="s">
        <v>455</v>
      </c>
      <c r="J9" s="38"/>
      <c r="K9" s="37">
        <v>127.5</v>
      </c>
      <c r="L9" s="37" t="str">
        <f>"111,5625"</f>
        <v>111,5625</v>
      </c>
      <c r="M9" s="37"/>
    </row>
    <row r="10" spans="1:13" ht="12.75">
      <c r="A10" s="39" t="s">
        <v>708</v>
      </c>
      <c r="B10" s="39" t="s">
        <v>709</v>
      </c>
      <c r="C10" s="39" t="s">
        <v>710</v>
      </c>
      <c r="D10" s="39" t="str">
        <f>"0,8738"</f>
        <v>0,8738</v>
      </c>
      <c r="E10" s="39" t="s">
        <v>44</v>
      </c>
      <c r="F10" s="39" t="s">
        <v>197</v>
      </c>
      <c r="G10" s="39" t="s">
        <v>31</v>
      </c>
      <c r="H10" s="39" t="s">
        <v>32</v>
      </c>
      <c r="I10" s="39" t="s">
        <v>18</v>
      </c>
      <c r="J10" s="40"/>
      <c r="K10" s="39">
        <v>100</v>
      </c>
      <c r="L10" s="39" t="str">
        <f>"87,3800"</f>
        <v>87,3800</v>
      </c>
      <c r="M10" s="39"/>
    </row>
    <row r="11" spans="1:13" ht="12.75">
      <c r="A11" s="41" t="s">
        <v>711</v>
      </c>
      <c r="B11" s="41" t="s">
        <v>712</v>
      </c>
      <c r="C11" s="41" t="s">
        <v>427</v>
      </c>
      <c r="D11" s="41" t="str">
        <f>"0,8788"</f>
        <v>0,8788</v>
      </c>
      <c r="E11" s="41" t="s">
        <v>246</v>
      </c>
      <c r="F11" s="41" t="s">
        <v>197</v>
      </c>
      <c r="G11" s="41" t="s">
        <v>21</v>
      </c>
      <c r="H11" s="41" t="s">
        <v>58</v>
      </c>
      <c r="I11" s="41" t="s">
        <v>48</v>
      </c>
      <c r="J11" s="42"/>
      <c r="K11" s="41">
        <v>75</v>
      </c>
      <c r="L11" s="41" t="str">
        <f>"65,9100"</f>
        <v>65,9100</v>
      </c>
      <c r="M11" s="41"/>
    </row>
    <row r="13" spans="1:12" ht="15">
      <c r="A13" s="51" t="s">
        <v>40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</row>
    <row r="14" spans="1:13" ht="12.75">
      <c r="A14" s="35" t="s">
        <v>338</v>
      </c>
      <c r="B14" s="35" t="s">
        <v>339</v>
      </c>
      <c r="C14" s="35" t="s">
        <v>340</v>
      </c>
      <c r="D14" s="35" t="str">
        <f>"0,7918"</f>
        <v>0,7918</v>
      </c>
      <c r="E14" s="35" t="s">
        <v>44</v>
      </c>
      <c r="F14" s="35" t="s">
        <v>341</v>
      </c>
      <c r="G14" s="35" t="s">
        <v>46</v>
      </c>
      <c r="H14" s="35" t="s">
        <v>47</v>
      </c>
      <c r="I14" s="36" t="s">
        <v>343</v>
      </c>
      <c r="J14" s="36"/>
      <c r="K14" s="35">
        <v>160</v>
      </c>
      <c r="L14" s="35" t="str">
        <f>"126,6880"</f>
        <v>126,6880</v>
      </c>
      <c r="M14" s="35"/>
    </row>
    <row r="16" spans="1:12" ht="15">
      <c r="A16" s="51" t="s">
        <v>35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</row>
    <row r="17" spans="1:13" ht="12.75">
      <c r="A17" s="35" t="s">
        <v>713</v>
      </c>
      <c r="B17" s="35" t="s">
        <v>714</v>
      </c>
      <c r="C17" s="35" t="s">
        <v>351</v>
      </c>
      <c r="D17" s="35" t="str">
        <f>"0,8128"</f>
        <v>0,8128</v>
      </c>
      <c r="E17" s="35" t="s">
        <v>17</v>
      </c>
      <c r="F17" s="35" t="s">
        <v>17</v>
      </c>
      <c r="G17" s="35" t="s">
        <v>52</v>
      </c>
      <c r="H17" s="35" t="s">
        <v>67</v>
      </c>
      <c r="I17" s="36" t="s">
        <v>77</v>
      </c>
      <c r="J17" s="36"/>
      <c r="K17" s="35">
        <v>210</v>
      </c>
      <c r="L17" s="35" t="str">
        <f>"170,6880"</f>
        <v>170,6880</v>
      </c>
      <c r="M17" s="35"/>
    </row>
    <row r="19" spans="1:12" ht="15">
      <c r="A19" s="51" t="s">
        <v>174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</row>
    <row r="20" spans="1:13" ht="12.75">
      <c r="A20" s="35" t="s">
        <v>715</v>
      </c>
      <c r="B20" s="35" t="s">
        <v>716</v>
      </c>
      <c r="C20" s="35" t="s">
        <v>476</v>
      </c>
      <c r="D20" s="35" t="str">
        <f>"0,6835"</f>
        <v>0,6835</v>
      </c>
      <c r="E20" s="35" t="s">
        <v>44</v>
      </c>
      <c r="F20" s="35" t="s">
        <v>717</v>
      </c>
      <c r="G20" s="35" t="s">
        <v>105</v>
      </c>
      <c r="H20" s="35" t="s">
        <v>52</v>
      </c>
      <c r="I20" s="35" t="s">
        <v>70</v>
      </c>
      <c r="J20" s="36"/>
      <c r="K20" s="35">
        <v>205</v>
      </c>
      <c r="L20" s="35" t="str">
        <f>"140,1175"</f>
        <v>140,1175</v>
      </c>
      <c r="M20" s="35" t="s">
        <v>718</v>
      </c>
    </row>
    <row r="22" spans="1:12" ht="15">
      <c r="A22" s="51" t="s">
        <v>63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</row>
    <row r="23" spans="1:13" ht="12.75">
      <c r="A23" s="35" t="s">
        <v>719</v>
      </c>
      <c r="B23" s="35" t="s">
        <v>720</v>
      </c>
      <c r="C23" s="35" t="s">
        <v>721</v>
      </c>
      <c r="D23" s="35" t="str">
        <f>"1,0839"</f>
        <v>1,0839</v>
      </c>
      <c r="E23" s="35" t="s">
        <v>111</v>
      </c>
      <c r="F23" s="35" t="s">
        <v>722</v>
      </c>
      <c r="G23" s="35" t="s">
        <v>84</v>
      </c>
      <c r="H23" s="35" t="s">
        <v>698</v>
      </c>
      <c r="I23" s="36"/>
      <c r="J23" s="36"/>
      <c r="K23" s="35">
        <v>232.5</v>
      </c>
      <c r="L23" s="35" t="str">
        <f>"252,0114"</f>
        <v>252,0114</v>
      </c>
      <c r="M23" s="35"/>
    </row>
    <row r="25" spans="1:12" ht="15">
      <c r="A25" s="51" t="s">
        <v>222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</row>
    <row r="26" spans="1:13" ht="12.75">
      <c r="A26" s="37" t="s">
        <v>723</v>
      </c>
      <c r="B26" s="37" t="s">
        <v>724</v>
      </c>
      <c r="C26" s="37" t="s">
        <v>725</v>
      </c>
      <c r="D26" s="37" t="str">
        <f>"0,5570"</f>
        <v>0,5570</v>
      </c>
      <c r="E26" s="37" t="s">
        <v>44</v>
      </c>
      <c r="F26" s="37" t="s">
        <v>473</v>
      </c>
      <c r="G26" s="38" t="s">
        <v>78</v>
      </c>
      <c r="H26" s="37" t="s">
        <v>78</v>
      </c>
      <c r="I26" s="38" t="s">
        <v>377</v>
      </c>
      <c r="J26" s="38"/>
      <c r="K26" s="37">
        <v>235</v>
      </c>
      <c r="L26" s="37" t="str">
        <f>"130,8950"</f>
        <v>130,8950</v>
      </c>
      <c r="M26" s="37"/>
    </row>
    <row r="27" spans="1:13" ht="12.75">
      <c r="A27" s="39" t="s">
        <v>726</v>
      </c>
      <c r="B27" s="39" t="s">
        <v>727</v>
      </c>
      <c r="C27" s="39" t="s">
        <v>728</v>
      </c>
      <c r="D27" s="39" t="str">
        <f>"0,5583"</f>
        <v>0,5583</v>
      </c>
      <c r="E27" s="39" t="s">
        <v>44</v>
      </c>
      <c r="F27" s="39" t="s">
        <v>186</v>
      </c>
      <c r="G27" s="39" t="s">
        <v>68</v>
      </c>
      <c r="H27" s="40" t="s">
        <v>698</v>
      </c>
      <c r="I27" s="39" t="s">
        <v>698</v>
      </c>
      <c r="J27" s="40"/>
      <c r="K27" s="39">
        <v>232.5</v>
      </c>
      <c r="L27" s="39" t="str">
        <f>"129,8048"</f>
        <v>129,8048</v>
      </c>
      <c r="M27" s="39"/>
    </row>
    <row r="28" spans="1:13" ht="12.75">
      <c r="A28" s="39" t="s">
        <v>373</v>
      </c>
      <c r="B28" s="39" t="s">
        <v>374</v>
      </c>
      <c r="C28" s="39" t="s">
        <v>375</v>
      </c>
      <c r="D28" s="39" t="str">
        <f>"0,5550"</f>
        <v>0,5550</v>
      </c>
      <c r="E28" s="39" t="s">
        <v>44</v>
      </c>
      <c r="F28" s="39" t="s">
        <v>376</v>
      </c>
      <c r="G28" s="39" t="s">
        <v>134</v>
      </c>
      <c r="H28" s="39" t="s">
        <v>113</v>
      </c>
      <c r="I28" s="40" t="s">
        <v>90</v>
      </c>
      <c r="J28" s="40"/>
      <c r="K28" s="39">
        <v>260</v>
      </c>
      <c r="L28" s="39" t="str">
        <f>"144,3000"</f>
        <v>144,3000</v>
      </c>
      <c r="M28" s="39"/>
    </row>
    <row r="29" spans="1:13" ht="12.75">
      <c r="A29" s="41" t="s">
        <v>723</v>
      </c>
      <c r="B29" s="41" t="s">
        <v>729</v>
      </c>
      <c r="C29" s="41" t="s">
        <v>725</v>
      </c>
      <c r="D29" s="41" t="str">
        <f>"0,5570"</f>
        <v>0,5570</v>
      </c>
      <c r="E29" s="41" t="s">
        <v>44</v>
      </c>
      <c r="F29" s="41" t="s">
        <v>473</v>
      </c>
      <c r="G29" s="42" t="s">
        <v>78</v>
      </c>
      <c r="H29" s="41" t="s">
        <v>78</v>
      </c>
      <c r="I29" s="42" t="s">
        <v>377</v>
      </c>
      <c r="J29" s="42"/>
      <c r="K29" s="41">
        <v>235</v>
      </c>
      <c r="L29" s="41" t="str">
        <f>"130,8950"</f>
        <v>130,8950</v>
      </c>
      <c r="M29" s="41"/>
    </row>
    <row r="31" spans="1:12" ht="15">
      <c r="A31" s="51" t="s">
        <v>107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</row>
    <row r="32" spans="1:13" ht="12.75">
      <c r="A32" s="37" t="s">
        <v>730</v>
      </c>
      <c r="B32" s="37" t="s">
        <v>731</v>
      </c>
      <c r="C32" s="37" t="s">
        <v>732</v>
      </c>
      <c r="D32" s="37" t="str">
        <f>"0,5384"</f>
        <v>0,5384</v>
      </c>
      <c r="E32" s="37" t="s">
        <v>44</v>
      </c>
      <c r="F32" s="37" t="s">
        <v>197</v>
      </c>
      <c r="G32" s="37" t="s">
        <v>85</v>
      </c>
      <c r="H32" s="37" t="s">
        <v>134</v>
      </c>
      <c r="I32" s="37" t="s">
        <v>377</v>
      </c>
      <c r="J32" s="38"/>
      <c r="K32" s="37">
        <v>250</v>
      </c>
      <c r="L32" s="37" t="str">
        <f>"134,6000"</f>
        <v>134,6000</v>
      </c>
      <c r="M32" s="37"/>
    </row>
    <row r="33" spans="1:13" ht="12.75">
      <c r="A33" s="41" t="s">
        <v>733</v>
      </c>
      <c r="B33" s="41" t="s">
        <v>734</v>
      </c>
      <c r="C33" s="41" t="s">
        <v>110</v>
      </c>
      <c r="D33" s="41" t="str">
        <f>"0,5531"</f>
        <v>0,5531</v>
      </c>
      <c r="E33" s="41" t="s">
        <v>44</v>
      </c>
      <c r="F33" s="41" t="s">
        <v>197</v>
      </c>
      <c r="G33" s="41" t="s">
        <v>68</v>
      </c>
      <c r="H33" s="41" t="s">
        <v>698</v>
      </c>
      <c r="I33" s="41" t="s">
        <v>134</v>
      </c>
      <c r="J33" s="42"/>
      <c r="K33" s="41">
        <v>240</v>
      </c>
      <c r="L33" s="41" t="str">
        <f>"132,7516"</f>
        <v>132,7516</v>
      </c>
      <c r="M33" s="41"/>
    </row>
    <row r="35" spans="1:12" ht="15">
      <c r="A35" s="51" t="s">
        <v>272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</row>
    <row r="36" spans="1:13" ht="12.75">
      <c r="A36" s="37" t="s">
        <v>735</v>
      </c>
      <c r="B36" s="37" t="s">
        <v>736</v>
      </c>
      <c r="C36" s="37" t="s">
        <v>737</v>
      </c>
      <c r="D36" s="37" t="str">
        <f>"0,5289"</f>
        <v>0,5289</v>
      </c>
      <c r="E36" s="37" t="s">
        <v>431</v>
      </c>
      <c r="F36" s="37" t="s">
        <v>432</v>
      </c>
      <c r="G36" s="37" t="s">
        <v>656</v>
      </c>
      <c r="H36" s="37" t="s">
        <v>644</v>
      </c>
      <c r="I36" s="38" t="s">
        <v>738</v>
      </c>
      <c r="J36" s="38"/>
      <c r="K36" s="37">
        <v>305</v>
      </c>
      <c r="L36" s="37" t="str">
        <f>"161,3145"</f>
        <v>161,3145</v>
      </c>
      <c r="M36" s="37"/>
    </row>
    <row r="37" spans="1:13" ht="12.75">
      <c r="A37" s="41" t="s">
        <v>739</v>
      </c>
      <c r="B37" s="41" t="s">
        <v>740</v>
      </c>
      <c r="C37" s="41" t="s">
        <v>545</v>
      </c>
      <c r="D37" s="41" t="str">
        <f>"0,5581"</f>
        <v>0,5581</v>
      </c>
      <c r="E37" s="41" t="s">
        <v>44</v>
      </c>
      <c r="F37" s="41" t="s">
        <v>741</v>
      </c>
      <c r="G37" s="41" t="s">
        <v>264</v>
      </c>
      <c r="H37" s="42" t="s">
        <v>271</v>
      </c>
      <c r="I37" s="42"/>
      <c r="J37" s="42"/>
      <c r="K37" s="41">
        <v>197.5</v>
      </c>
      <c r="L37" s="41" t="str">
        <f>"110,2169"</f>
        <v>110,2169</v>
      </c>
      <c r="M37" s="41"/>
    </row>
    <row r="39" ht="15">
      <c r="E39" s="43" t="s">
        <v>118</v>
      </c>
    </row>
    <row r="40" ht="15">
      <c r="E40" s="43" t="s">
        <v>119</v>
      </c>
    </row>
    <row r="41" ht="15">
      <c r="E41" s="43" t="s">
        <v>120</v>
      </c>
    </row>
    <row r="42" ht="12.75">
      <c r="E42" s="34" t="s">
        <v>121</v>
      </c>
    </row>
    <row r="43" ht="12.75">
      <c r="E43" s="34" t="s">
        <v>122</v>
      </c>
    </row>
    <row r="44" ht="12.75">
      <c r="E44" s="34" t="s">
        <v>123</v>
      </c>
    </row>
    <row r="47" spans="1:2" ht="18">
      <c r="A47" s="44" t="s">
        <v>124</v>
      </c>
      <c r="B47" s="44"/>
    </row>
    <row r="48" spans="1:2" ht="15">
      <c r="A48" s="45" t="s">
        <v>125</v>
      </c>
      <c r="B48" s="45"/>
    </row>
    <row r="49" spans="1:2" ht="14.25">
      <c r="A49" s="47" t="s">
        <v>126</v>
      </c>
      <c r="B49" s="48"/>
    </row>
    <row r="50" spans="1:5" ht="15">
      <c r="A50" s="49" t="s">
        <v>0</v>
      </c>
      <c r="B50" s="49" t="s">
        <v>127</v>
      </c>
      <c r="C50" s="49" t="s">
        <v>128</v>
      </c>
      <c r="D50" s="49" t="s">
        <v>7</v>
      </c>
      <c r="E50" s="49" t="s">
        <v>129</v>
      </c>
    </row>
    <row r="51" spans="1:5" ht="12.75">
      <c r="A51" s="46" t="s">
        <v>338</v>
      </c>
      <c r="B51" s="34" t="s">
        <v>126</v>
      </c>
      <c r="C51" s="34" t="s">
        <v>130</v>
      </c>
      <c r="D51" s="34" t="s">
        <v>47</v>
      </c>
      <c r="E51" s="50" t="s">
        <v>742</v>
      </c>
    </row>
    <row r="52" spans="1:5" ht="12.75">
      <c r="A52" s="46" t="s">
        <v>705</v>
      </c>
      <c r="B52" s="34" t="s">
        <v>126</v>
      </c>
      <c r="C52" s="34" t="s">
        <v>136</v>
      </c>
      <c r="D52" s="34" t="s">
        <v>455</v>
      </c>
      <c r="E52" s="50" t="s">
        <v>743</v>
      </c>
    </row>
    <row r="53" spans="1:5" ht="12.75">
      <c r="A53" s="46" t="s">
        <v>708</v>
      </c>
      <c r="B53" s="34" t="s">
        <v>126</v>
      </c>
      <c r="C53" s="34" t="s">
        <v>136</v>
      </c>
      <c r="D53" s="34" t="s">
        <v>18</v>
      </c>
      <c r="E53" s="50" t="s">
        <v>744</v>
      </c>
    </row>
    <row r="54" spans="1:5" ht="12.75">
      <c r="A54" s="46" t="s">
        <v>702</v>
      </c>
      <c r="B54" s="34" t="s">
        <v>126</v>
      </c>
      <c r="C54" s="34" t="s">
        <v>283</v>
      </c>
      <c r="D54" s="34" t="s">
        <v>334</v>
      </c>
      <c r="E54" s="50" t="s">
        <v>745</v>
      </c>
    </row>
    <row r="55" spans="1:5" ht="12.75">
      <c r="A55" s="46" t="s">
        <v>711</v>
      </c>
      <c r="B55" s="34" t="s">
        <v>126</v>
      </c>
      <c r="C55" s="34" t="s">
        <v>136</v>
      </c>
      <c r="D55" s="34" t="s">
        <v>48</v>
      </c>
      <c r="E55" s="50" t="s">
        <v>746</v>
      </c>
    </row>
    <row r="58" spans="1:2" ht="15">
      <c r="A58" s="45" t="s">
        <v>145</v>
      </c>
      <c r="B58" s="45"/>
    </row>
    <row r="59" spans="1:2" ht="14.25">
      <c r="A59" s="47" t="s">
        <v>285</v>
      </c>
      <c r="B59" s="48"/>
    </row>
    <row r="60" spans="1:5" ht="15">
      <c r="A60" s="49" t="s">
        <v>0</v>
      </c>
      <c r="B60" s="49" t="s">
        <v>127</v>
      </c>
      <c r="C60" s="49" t="s">
        <v>128</v>
      </c>
      <c r="D60" s="49" t="s">
        <v>7</v>
      </c>
      <c r="E60" s="49" t="s">
        <v>129</v>
      </c>
    </row>
    <row r="61" spans="1:5" ht="12.75">
      <c r="A61" s="46" t="s">
        <v>713</v>
      </c>
      <c r="B61" s="34" t="s">
        <v>286</v>
      </c>
      <c r="C61" s="34" t="s">
        <v>136</v>
      </c>
      <c r="D61" s="34" t="s">
        <v>67</v>
      </c>
      <c r="E61" s="50" t="s">
        <v>747</v>
      </c>
    </row>
    <row r="63" spans="1:2" ht="14.25">
      <c r="A63" s="47" t="s">
        <v>126</v>
      </c>
      <c r="B63" s="48"/>
    </row>
    <row r="64" spans="1:5" ht="15">
      <c r="A64" s="49" t="s">
        <v>0</v>
      </c>
      <c r="B64" s="49" t="s">
        <v>127</v>
      </c>
      <c r="C64" s="49" t="s">
        <v>128</v>
      </c>
      <c r="D64" s="49" t="s">
        <v>7</v>
      </c>
      <c r="E64" s="49" t="s">
        <v>129</v>
      </c>
    </row>
    <row r="65" spans="1:5" ht="12.75">
      <c r="A65" s="46" t="s">
        <v>735</v>
      </c>
      <c r="B65" s="34" t="s">
        <v>126</v>
      </c>
      <c r="C65" s="34" t="s">
        <v>312</v>
      </c>
      <c r="D65" s="34" t="s">
        <v>644</v>
      </c>
      <c r="E65" s="50" t="s">
        <v>748</v>
      </c>
    </row>
    <row r="66" spans="1:5" ht="12.75">
      <c r="A66" s="46" t="s">
        <v>715</v>
      </c>
      <c r="B66" s="34" t="s">
        <v>126</v>
      </c>
      <c r="C66" s="34" t="s">
        <v>278</v>
      </c>
      <c r="D66" s="34" t="s">
        <v>70</v>
      </c>
      <c r="E66" s="50" t="s">
        <v>749</v>
      </c>
    </row>
    <row r="67" spans="1:5" ht="12.75">
      <c r="A67" s="46" t="s">
        <v>730</v>
      </c>
      <c r="B67" s="34" t="s">
        <v>126</v>
      </c>
      <c r="C67" s="34" t="s">
        <v>156</v>
      </c>
      <c r="D67" s="34" t="s">
        <v>377</v>
      </c>
      <c r="E67" s="50" t="s">
        <v>750</v>
      </c>
    </row>
    <row r="68" spans="1:5" ht="12.75">
      <c r="A68" s="46" t="s">
        <v>723</v>
      </c>
      <c r="B68" s="34" t="s">
        <v>126</v>
      </c>
      <c r="C68" s="34" t="s">
        <v>290</v>
      </c>
      <c r="D68" s="34" t="s">
        <v>78</v>
      </c>
      <c r="E68" s="50" t="s">
        <v>751</v>
      </c>
    </row>
    <row r="69" spans="1:5" ht="12.75">
      <c r="A69" s="46" t="s">
        <v>726</v>
      </c>
      <c r="B69" s="34" t="s">
        <v>126</v>
      </c>
      <c r="C69" s="34" t="s">
        <v>290</v>
      </c>
      <c r="D69" s="34" t="s">
        <v>698</v>
      </c>
      <c r="E69" s="50" t="s">
        <v>752</v>
      </c>
    </row>
    <row r="71" spans="1:2" ht="14.25">
      <c r="A71" s="47" t="s">
        <v>138</v>
      </c>
      <c r="B71" s="48"/>
    </row>
    <row r="72" spans="1:5" ht="15">
      <c r="A72" s="49" t="s">
        <v>0</v>
      </c>
      <c r="B72" s="49" t="s">
        <v>127</v>
      </c>
      <c r="C72" s="49" t="s">
        <v>128</v>
      </c>
      <c r="D72" s="49" t="s">
        <v>7</v>
      </c>
      <c r="E72" s="49" t="s">
        <v>129</v>
      </c>
    </row>
    <row r="73" spans="1:5" ht="12.75">
      <c r="A73" s="46" t="s">
        <v>719</v>
      </c>
      <c r="B73" s="34" t="s">
        <v>606</v>
      </c>
      <c r="C73" s="34" t="s">
        <v>148</v>
      </c>
      <c r="D73" s="34" t="s">
        <v>698</v>
      </c>
      <c r="E73" s="50" t="s">
        <v>753</v>
      </c>
    </row>
    <row r="74" spans="1:5" ht="12.75">
      <c r="A74" s="46" t="s">
        <v>733</v>
      </c>
      <c r="B74" s="34" t="s">
        <v>160</v>
      </c>
      <c r="C74" s="34" t="s">
        <v>156</v>
      </c>
      <c r="D74" s="34" t="s">
        <v>134</v>
      </c>
      <c r="E74" s="50" t="s">
        <v>754</v>
      </c>
    </row>
    <row r="75" spans="1:5" ht="12.75">
      <c r="A75" s="46" t="s">
        <v>739</v>
      </c>
      <c r="B75" s="34" t="s">
        <v>307</v>
      </c>
      <c r="C75" s="34" t="s">
        <v>312</v>
      </c>
      <c r="D75" s="34" t="s">
        <v>264</v>
      </c>
      <c r="E75" s="50" t="s">
        <v>755</v>
      </c>
    </row>
  </sheetData>
  <sheetProtection/>
  <mergeCells count="20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A22:L22"/>
    <mergeCell ref="A25:L25"/>
    <mergeCell ref="A31:L31"/>
    <mergeCell ref="A35:L35"/>
    <mergeCell ref="M3:M4"/>
    <mergeCell ref="A5:L5"/>
    <mergeCell ref="A8:L8"/>
    <mergeCell ref="A13:L13"/>
    <mergeCell ref="A16:L16"/>
    <mergeCell ref="A19:L1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27.00390625" style="34" bestFit="1" customWidth="1"/>
    <col min="2" max="2" width="24.875" style="34" bestFit="1" customWidth="1"/>
    <col min="3" max="3" width="7.75390625" style="34" bestFit="1" customWidth="1"/>
    <col min="4" max="4" width="6.875" style="34" bestFit="1" customWidth="1"/>
    <col min="5" max="5" width="17.25390625" style="34" bestFit="1" customWidth="1"/>
    <col min="6" max="6" width="20.125" style="34" bestFit="1" customWidth="1"/>
    <col min="7" max="9" width="5.625" style="34" bestFit="1" customWidth="1"/>
    <col min="10" max="10" width="4.875" style="34" bestFit="1" customWidth="1"/>
    <col min="11" max="11" width="6.75390625" style="34" bestFit="1" customWidth="1"/>
    <col min="12" max="12" width="8.625" style="34" bestFit="1" customWidth="1"/>
    <col min="13" max="13" width="14.75390625" style="34" bestFit="1" customWidth="1"/>
  </cols>
  <sheetData>
    <row r="1" spans="1:13" s="1" customFormat="1" ht="15" customHeight="1">
      <c r="A1" s="62" t="s">
        <v>762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s="1" customFormat="1" ht="60" customHeight="1" thickBo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s="7" customFormat="1" ht="12.75" customHeight="1">
      <c r="A3" s="58" t="s">
        <v>0</v>
      </c>
      <c r="B3" s="69" t="s">
        <v>12</v>
      </c>
      <c r="C3" s="69" t="s">
        <v>11</v>
      </c>
      <c r="D3" s="54" t="s">
        <v>1</v>
      </c>
      <c r="E3" s="54" t="s">
        <v>2</v>
      </c>
      <c r="F3" s="56" t="s">
        <v>3</v>
      </c>
      <c r="G3" s="58" t="s">
        <v>6</v>
      </c>
      <c r="H3" s="54"/>
      <c r="I3" s="54"/>
      <c r="J3" s="59"/>
      <c r="K3" s="52" t="s">
        <v>7</v>
      </c>
      <c r="L3" s="54" t="s">
        <v>9</v>
      </c>
      <c r="M3" s="59" t="s">
        <v>8</v>
      </c>
    </row>
    <row r="4" spans="1:13" s="7" customFormat="1" ht="23.25" customHeight="1" thickBot="1">
      <c r="A4" s="68"/>
      <c r="B4" s="55"/>
      <c r="C4" s="55"/>
      <c r="D4" s="55"/>
      <c r="E4" s="55"/>
      <c r="F4" s="57"/>
      <c r="G4" s="3">
        <v>1</v>
      </c>
      <c r="H4" s="2">
        <v>2</v>
      </c>
      <c r="I4" s="2">
        <v>3</v>
      </c>
      <c r="J4" s="4" t="s">
        <v>10</v>
      </c>
      <c r="K4" s="53"/>
      <c r="L4" s="55"/>
      <c r="M4" s="60"/>
    </row>
    <row r="5" spans="1:12" ht="15">
      <c r="A5" s="61" t="s">
        <v>174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3" ht="12.75">
      <c r="A6" s="37" t="s">
        <v>756</v>
      </c>
      <c r="B6" s="37" t="s">
        <v>757</v>
      </c>
      <c r="C6" s="37" t="s">
        <v>758</v>
      </c>
      <c r="D6" s="37" t="str">
        <f>"0,7497"</f>
        <v>0,7497</v>
      </c>
      <c r="E6" s="37" t="s">
        <v>111</v>
      </c>
      <c r="F6" s="37" t="s">
        <v>112</v>
      </c>
      <c r="G6" s="37" t="s">
        <v>105</v>
      </c>
      <c r="H6" s="38" t="s">
        <v>52</v>
      </c>
      <c r="I6" s="38" t="s">
        <v>52</v>
      </c>
      <c r="J6" s="38"/>
      <c r="K6" s="37">
        <v>185</v>
      </c>
      <c r="L6" s="37" t="str">
        <f>"138,6945"</f>
        <v>138,6945</v>
      </c>
      <c r="M6" s="37" t="s">
        <v>759</v>
      </c>
    </row>
    <row r="7" spans="1:13" ht="12.75">
      <c r="A7" s="41" t="s">
        <v>756</v>
      </c>
      <c r="B7" s="41" t="s">
        <v>952</v>
      </c>
      <c r="C7" s="41" t="s">
        <v>760</v>
      </c>
      <c r="D7" s="41" t="str">
        <f>"0,7453"</f>
        <v>0,7453</v>
      </c>
      <c r="E7" s="41" t="s">
        <v>111</v>
      </c>
      <c r="F7" s="41" t="s">
        <v>112</v>
      </c>
      <c r="G7" s="35" t="s">
        <v>105</v>
      </c>
      <c r="H7" s="36" t="s">
        <v>52</v>
      </c>
      <c r="I7" s="36" t="s">
        <v>52</v>
      </c>
      <c r="J7" s="36"/>
      <c r="K7" s="35">
        <v>185</v>
      </c>
      <c r="L7" s="35" t="str">
        <f>"138,6945"</f>
        <v>138,6945</v>
      </c>
      <c r="M7" s="41" t="s">
        <v>759</v>
      </c>
    </row>
    <row r="9" ht="15">
      <c r="E9" s="43" t="s">
        <v>118</v>
      </c>
    </row>
    <row r="10" ht="15">
      <c r="E10" s="43" t="s">
        <v>119</v>
      </c>
    </row>
    <row r="11" ht="15">
      <c r="E11" s="43" t="s">
        <v>120</v>
      </c>
    </row>
    <row r="12" ht="12.75">
      <c r="E12" s="34" t="s">
        <v>121</v>
      </c>
    </row>
    <row r="13" ht="12.75">
      <c r="E13" s="34" t="s">
        <v>122</v>
      </c>
    </row>
    <row r="14" ht="12.75">
      <c r="E14" s="34" t="s">
        <v>123</v>
      </c>
    </row>
    <row r="17" spans="1:2" ht="18">
      <c r="A17" s="44" t="s">
        <v>124</v>
      </c>
      <c r="B17" s="44"/>
    </row>
    <row r="18" spans="1:2" ht="15">
      <c r="A18" s="45" t="s">
        <v>125</v>
      </c>
      <c r="B18" s="45"/>
    </row>
    <row r="19" spans="1:2" ht="14.25">
      <c r="A19" s="47" t="s">
        <v>126</v>
      </c>
      <c r="B19" s="48"/>
    </row>
    <row r="20" spans="1:5" ht="15">
      <c r="A20" s="49" t="s">
        <v>0</v>
      </c>
      <c r="B20" s="49" t="s">
        <v>127</v>
      </c>
      <c r="C20" s="49" t="s">
        <v>128</v>
      </c>
      <c r="D20" s="49" t="s">
        <v>7</v>
      </c>
      <c r="E20" s="49" t="s">
        <v>129</v>
      </c>
    </row>
    <row r="21" spans="1:5" ht="12.75">
      <c r="A21" s="46" t="s">
        <v>756</v>
      </c>
      <c r="B21" s="34" t="s">
        <v>126</v>
      </c>
      <c r="C21" s="34" t="s">
        <v>278</v>
      </c>
      <c r="D21" s="34" t="s">
        <v>105</v>
      </c>
      <c r="E21" s="50" t="s">
        <v>761</v>
      </c>
    </row>
    <row r="23" spans="1:2" ht="14.25">
      <c r="A23" s="47" t="s">
        <v>763</v>
      </c>
      <c r="B23" s="48"/>
    </row>
    <row r="24" spans="1:5" ht="15">
      <c r="A24" s="49" t="s">
        <v>0</v>
      </c>
      <c r="B24" s="49" t="s">
        <v>127</v>
      </c>
      <c r="C24" s="49" t="s">
        <v>128</v>
      </c>
      <c r="D24" s="49" t="s">
        <v>7</v>
      </c>
      <c r="E24" s="49" t="s">
        <v>129</v>
      </c>
    </row>
    <row r="25" spans="1:5" ht="12.75">
      <c r="A25" s="46" t="s">
        <v>756</v>
      </c>
      <c r="B25" s="34" t="s">
        <v>763</v>
      </c>
      <c r="C25" s="34" t="s">
        <v>278</v>
      </c>
      <c r="D25" s="34" t="s">
        <v>105</v>
      </c>
      <c r="E25" s="50" t="s">
        <v>761</v>
      </c>
    </row>
  </sheetData>
  <sheetProtection/>
  <mergeCells count="12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30.25390625" style="6" bestFit="1" customWidth="1"/>
    <col min="2" max="2" width="30.875" style="5" bestFit="1" customWidth="1"/>
    <col min="3" max="3" width="7.75390625" style="5" bestFit="1" customWidth="1"/>
    <col min="4" max="4" width="6.875" style="5" bestFit="1" customWidth="1"/>
    <col min="5" max="5" width="17.25390625" style="8" bestFit="1" customWidth="1"/>
    <col min="6" max="6" width="32.125" style="8" bestFit="1" customWidth="1"/>
    <col min="7" max="9" width="5.625" style="5" bestFit="1" customWidth="1"/>
    <col min="10" max="10" width="4.875" style="5" bestFit="1" customWidth="1"/>
    <col min="11" max="13" width="5.625" style="5" bestFit="1" customWidth="1"/>
    <col min="14" max="14" width="4.875" style="5" bestFit="1" customWidth="1"/>
    <col min="15" max="18" width="5.625" style="5" bestFit="1" customWidth="1"/>
    <col min="19" max="19" width="6.75390625" style="6" bestFit="1" customWidth="1"/>
    <col min="20" max="20" width="8.625" style="5" bestFit="1" customWidth="1"/>
    <col min="21" max="21" width="7.375" style="8" bestFit="1" customWidth="1"/>
    <col min="22" max="16384" width="9.125" style="1" customWidth="1"/>
  </cols>
  <sheetData>
    <row r="1" spans="1:21" ht="32.25" customHeight="1">
      <c r="A1" s="62" t="s">
        <v>774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4"/>
    </row>
    <row r="2" spans="1:21" ht="32.25" customHeight="1" thickBo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7"/>
    </row>
    <row r="3" spans="1:21" s="7" customFormat="1" ht="32.25" customHeight="1">
      <c r="A3" s="58" t="s">
        <v>0</v>
      </c>
      <c r="B3" s="69" t="s">
        <v>12</v>
      </c>
      <c r="C3" s="69" t="s">
        <v>11</v>
      </c>
      <c r="D3" s="54" t="s">
        <v>1</v>
      </c>
      <c r="E3" s="54" t="s">
        <v>2</v>
      </c>
      <c r="F3" s="56" t="s">
        <v>3</v>
      </c>
      <c r="G3" s="58" t="s">
        <v>4</v>
      </c>
      <c r="H3" s="54"/>
      <c r="I3" s="54"/>
      <c r="J3" s="59"/>
      <c r="K3" s="58" t="s">
        <v>5</v>
      </c>
      <c r="L3" s="54"/>
      <c r="M3" s="54"/>
      <c r="N3" s="59"/>
      <c r="O3" s="58" t="s">
        <v>6</v>
      </c>
      <c r="P3" s="54"/>
      <c r="Q3" s="54"/>
      <c r="R3" s="59"/>
      <c r="S3" s="52" t="s">
        <v>7</v>
      </c>
      <c r="T3" s="54" t="s">
        <v>9</v>
      </c>
      <c r="U3" s="59" t="s">
        <v>8</v>
      </c>
    </row>
    <row r="4" spans="1:21" s="7" customFormat="1" ht="32.25" customHeight="1" thickBot="1">
      <c r="A4" s="68"/>
      <c r="B4" s="55"/>
      <c r="C4" s="55"/>
      <c r="D4" s="55"/>
      <c r="E4" s="55"/>
      <c r="F4" s="57"/>
      <c r="G4" s="3">
        <v>1</v>
      </c>
      <c r="H4" s="2">
        <v>2</v>
      </c>
      <c r="I4" s="2">
        <v>3</v>
      </c>
      <c r="J4" s="4" t="s">
        <v>10</v>
      </c>
      <c r="K4" s="3">
        <v>1</v>
      </c>
      <c r="L4" s="2">
        <v>2</v>
      </c>
      <c r="M4" s="2">
        <v>3</v>
      </c>
      <c r="N4" s="4" t="s">
        <v>10</v>
      </c>
      <c r="O4" s="3">
        <v>1</v>
      </c>
      <c r="P4" s="2">
        <v>2</v>
      </c>
      <c r="Q4" s="2">
        <v>3</v>
      </c>
      <c r="R4" s="4" t="s">
        <v>10</v>
      </c>
      <c r="S4" s="53"/>
      <c r="T4" s="55"/>
      <c r="U4" s="60"/>
    </row>
    <row r="5" spans="1:21" s="5" customFormat="1" ht="15">
      <c r="A5" s="70" t="s">
        <v>13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8"/>
    </row>
    <row r="6" spans="1:21" s="5" customFormat="1" ht="12.75">
      <c r="A6" s="9" t="s">
        <v>14</v>
      </c>
      <c r="B6" s="10" t="s">
        <v>15</v>
      </c>
      <c r="C6" s="10" t="s">
        <v>16</v>
      </c>
      <c r="D6" s="10" t="str">
        <f>"1,3411"</f>
        <v>1,3411</v>
      </c>
      <c r="E6" s="11" t="s">
        <v>17</v>
      </c>
      <c r="F6" s="11" t="s">
        <v>17</v>
      </c>
      <c r="G6" s="10" t="s">
        <v>18</v>
      </c>
      <c r="H6" s="10" t="s">
        <v>19</v>
      </c>
      <c r="I6" s="12" t="s">
        <v>20</v>
      </c>
      <c r="J6" s="12"/>
      <c r="K6" s="10" t="s">
        <v>21</v>
      </c>
      <c r="L6" s="10" t="s">
        <v>22</v>
      </c>
      <c r="M6" s="10" t="s">
        <v>23</v>
      </c>
      <c r="N6" s="12"/>
      <c r="O6" s="10" t="s">
        <v>24</v>
      </c>
      <c r="P6" s="10" t="s">
        <v>25</v>
      </c>
      <c r="Q6" s="10" t="s">
        <v>26</v>
      </c>
      <c r="R6" s="12"/>
      <c r="S6" s="9">
        <v>297.5</v>
      </c>
      <c r="T6" s="10" t="str">
        <f>"398,9878"</f>
        <v>398,9878</v>
      </c>
      <c r="U6" s="11"/>
    </row>
    <row r="7" spans="1:21" s="5" customFormat="1" ht="12.75">
      <c r="A7" s="6"/>
      <c r="E7" s="8"/>
      <c r="F7" s="8"/>
      <c r="S7" s="6"/>
      <c r="U7" s="8"/>
    </row>
    <row r="8" spans="1:20" ht="15">
      <c r="A8" s="71" t="s">
        <v>27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1"/>
      <c r="T8" s="72"/>
    </row>
    <row r="9" spans="1:21" ht="12.75">
      <c r="A9" s="9" t="s">
        <v>28</v>
      </c>
      <c r="B9" s="10" t="s">
        <v>29</v>
      </c>
      <c r="C9" s="10" t="s">
        <v>30</v>
      </c>
      <c r="D9" s="10" t="str">
        <f>"1,0336"</f>
        <v>1,0336</v>
      </c>
      <c r="E9" s="11" t="s">
        <v>17</v>
      </c>
      <c r="F9" s="11" t="s">
        <v>17</v>
      </c>
      <c r="G9" s="10" t="s">
        <v>31</v>
      </c>
      <c r="H9" s="10" t="s">
        <v>32</v>
      </c>
      <c r="I9" s="10" t="s">
        <v>33</v>
      </c>
      <c r="J9" s="12"/>
      <c r="K9" s="10" t="s">
        <v>34</v>
      </c>
      <c r="L9" s="10" t="s">
        <v>21</v>
      </c>
      <c r="M9" s="12" t="s">
        <v>22</v>
      </c>
      <c r="N9" s="12"/>
      <c r="O9" s="10" t="s">
        <v>33</v>
      </c>
      <c r="P9" s="10" t="s">
        <v>18</v>
      </c>
      <c r="Q9" s="12" t="s">
        <v>20</v>
      </c>
      <c r="R9" s="12"/>
      <c r="S9" s="9">
        <v>240</v>
      </c>
      <c r="T9" s="10" t="str">
        <f>"248,0640"</f>
        <v>248,0640</v>
      </c>
      <c r="U9" s="11"/>
    </row>
    <row r="11" spans="1:20" ht="15">
      <c r="A11" s="71" t="s">
        <v>35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1"/>
      <c r="T11" s="72"/>
    </row>
    <row r="12" spans="1:21" ht="12.75">
      <c r="A12" s="9" t="s">
        <v>36</v>
      </c>
      <c r="B12" s="10" t="s">
        <v>37</v>
      </c>
      <c r="C12" s="10" t="s">
        <v>38</v>
      </c>
      <c r="D12" s="10" t="str">
        <f>"0,8664"</f>
        <v>0,8664</v>
      </c>
      <c r="E12" s="11" t="s">
        <v>17</v>
      </c>
      <c r="F12" s="11" t="s">
        <v>17</v>
      </c>
      <c r="G12" s="10" t="s">
        <v>32</v>
      </c>
      <c r="H12" s="10" t="s">
        <v>33</v>
      </c>
      <c r="I12" s="12" t="s">
        <v>18</v>
      </c>
      <c r="J12" s="12"/>
      <c r="K12" s="10" t="s">
        <v>21</v>
      </c>
      <c r="L12" s="10" t="s">
        <v>22</v>
      </c>
      <c r="M12" s="10" t="s">
        <v>39</v>
      </c>
      <c r="N12" s="12"/>
      <c r="O12" s="10" t="s">
        <v>18</v>
      </c>
      <c r="P12" s="10" t="s">
        <v>20</v>
      </c>
      <c r="Q12" s="10" t="s">
        <v>26</v>
      </c>
      <c r="R12" s="12"/>
      <c r="S12" s="9">
        <v>280</v>
      </c>
      <c r="T12" s="10" t="str">
        <f>"242,5920"</f>
        <v>242,5920</v>
      </c>
      <c r="U12" s="11"/>
    </row>
    <row r="14" spans="1:20" ht="15">
      <c r="A14" s="71" t="s">
        <v>40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1"/>
      <c r="T14" s="72"/>
    </row>
    <row r="15" spans="1:21" ht="12.75">
      <c r="A15" s="17" t="s">
        <v>41</v>
      </c>
      <c r="B15" s="14" t="s">
        <v>42</v>
      </c>
      <c r="C15" s="14" t="s">
        <v>43</v>
      </c>
      <c r="D15" s="14" t="str">
        <f>"0,7827"</f>
        <v>0,7827</v>
      </c>
      <c r="E15" s="18" t="s">
        <v>44</v>
      </c>
      <c r="F15" s="18" t="s">
        <v>45</v>
      </c>
      <c r="G15" s="14" t="s">
        <v>46</v>
      </c>
      <c r="H15" s="19" t="s">
        <v>47</v>
      </c>
      <c r="I15" s="14" t="s">
        <v>47</v>
      </c>
      <c r="J15" s="19"/>
      <c r="K15" s="14" t="s">
        <v>31</v>
      </c>
      <c r="L15" s="14" t="s">
        <v>48</v>
      </c>
      <c r="M15" s="14" t="s">
        <v>49</v>
      </c>
      <c r="N15" s="19"/>
      <c r="O15" s="14" t="s">
        <v>50</v>
      </c>
      <c r="P15" s="14" t="s">
        <v>51</v>
      </c>
      <c r="Q15" s="14" t="s">
        <v>52</v>
      </c>
      <c r="R15" s="14" t="s">
        <v>53</v>
      </c>
      <c r="S15" s="17">
        <v>437.5</v>
      </c>
      <c r="T15" s="14" t="str">
        <f>"342,4313"</f>
        <v>342,4313</v>
      </c>
      <c r="U15" s="18"/>
    </row>
    <row r="16" spans="1:21" ht="12.75">
      <c r="A16" s="20" t="s">
        <v>54</v>
      </c>
      <c r="B16" s="15" t="s">
        <v>55</v>
      </c>
      <c r="C16" s="15" t="s">
        <v>56</v>
      </c>
      <c r="D16" s="15" t="str">
        <f>"0,9848"</f>
        <v>0,9848</v>
      </c>
      <c r="E16" s="21" t="s">
        <v>17</v>
      </c>
      <c r="F16" s="21" t="s">
        <v>17</v>
      </c>
      <c r="G16" s="15" t="s">
        <v>32</v>
      </c>
      <c r="H16" s="15" t="s">
        <v>33</v>
      </c>
      <c r="I16" s="22" t="s">
        <v>18</v>
      </c>
      <c r="J16" s="22"/>
      <c r="K16" s="15" t="s">
        <v>39</v>
      </c>
      <c r="L16" s="15" t="s">
        <v>57</v>
      </c>
      <c r="M16" s="22" t="s">
        <v>58</v>
      </c>
      <c r="N16" s="22"/>
      <c r="O16" s="15" t="s">
        <v>31</v>
      </c>
      <c r="P16" s="15" t="s">
        <v>32</v>
      </c>
      <c r="Q16" s="15" t="s">
        <v>33</v>
      </c>
      <c r="R16" s="22"/>
      <c r="S16" s="20">
        <v>242.5</v>
      </c>
      <c r="T16" s="15" t="str">
        <f>"238,8036"</f>
        <v>238,8036</v>
      </c>
      <c r="U16" s="21"/>
    </row>
    <row r="18" spans="1:20" ht="15">
      <c r="A18" s="71" t="s">
        <v>59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1"/>
      <c r="T18" s="72"/>
    </row>
    <row r="19" spans="1:21" ht="12.75">
      <c r="A19" s="9" t="s">
        <v>60</v>
      </c>
      <c r="B19" s="10" t="s">
        <v>61</v>
      </c>
      <c r="C19" s="10" t="s">
        <v>62</v>
      </c>
      <c r="D19" s="10" t="str">
        <f>"0,9690"</f>
        <v>0,9690</v>
      </c>
      <c r="E19" s="11" t="s">
        <v>17</v>
      </c>
      <c r="F19" s="11" t="s">
        <v>17</v>
      </c>
      <c r="G19" s="10" t="s">
        <v>21</v>
      </c>
      <c r="H19" s="10" t="s">
        <v>39</v>
      </c>
      <c r="I19" s="10" t="s">
        <v>58</v>
      </c>
      <c r="J19" s="12"/>
      <c r="K19" s="10" t="s">
        <v>31</v>
      </c>
      <c r="L19" s="10" t="s">
        <v>48</v>
      </c>
      <c r="M19" s="10" t="s">
        <v>32</v>
      </c>
      <c r="N19" s="12"/>
      <c r="O19" s="10" t="s">
        <v>31</v>
      </c>
      <c r="P19" s="10" t="s">
        <v>32</v>
      </c>
      <c r="Q19" s="10" t="s">
        <v>18</v>
      </c>
      <c r="R19" s="12"/>
      <c r="S19" s="9">
        <v>245</v>
      </c>
      <c r="T19" s="10" t="str">
        <f>"237,4050"</f>
        <v>237,4050</v>
      </c>
      <c r="U19" s="11"/>
    </row>
    <row r="21" spans="1:20" ht="15">
      <c r="A21" s="71" t="s">
        <v>63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1"/>
      <c r="T21" s="72"/>
    </row>
    <row r="22" spans="1:21" ht="12.75">
      <c r="A22" s="17" t="s">
        <v>64</v>
      </c>
      <c r="B22" s="14" t="s">
        <v>65</v>
      </c>
      <c r="C22" s="14" t="s">
        <v>66</v>
      </c>
      <c r="D22" s="14" t="str">
        <f>"0,6318"</f>
        <v>0,6318</v>
      </c>
      <c r="E22" s="18" t="s">
        <v>17</v>
      </c>
      <c r="F22" s="18" t="s">
        <v>17</v>
      </c>
      <c r="G22" s="14" t="s">
        <v>67</v>
      </c>
      <c r="H22" s="19" t="s">
        <v>68</v>
      </c>
      <c r="I22" s="19" t="s">
        <v>68</v>
      </c>
      <c r="J22" s="19"/>
      <c r="K22" s="14" t="s">
        <v>26</v>
      </c>
      <c r="L22" s="19" t="s">
        <v>69</v>
      </c>
      <c r="M22" s="14" t="s">
        <v>69</v>
      </c>
      <c r="N22" s="19"/>
      <c r="O22" s="14" t="s">
        <v>51</v>
      </c>
      <c r="P22" s="14" t="s">
        <v>52</v>
      </c>
      <c r="Q22" s="14" t="s">
        <v>70</v>
      </c>
      <c r="R22" s="19"/>
      <c r="S22" s="17">
        <v>555</v>
      </c>
      <c r="T22" s="14" t="str">
        <f>"350,6490"</f>
        <v>350,6490</v>
      </c>
      <c r="U22" s="18"/>
    </row>
    <row r="23" spans="1:21" ht="12.75">
      <c r="A23" s="20" t="s">
        <v>71</v>
      </c>
      <c r="B23" s="15" t="s">
        <v>72</v>
      </c>
      <c r="C23" s="15" t="s">
        <v>73</v>
      </c>
      <c r="D23" s="15" t="str">
        <f>"0,6224"</f>
        <v>0,6224</v>
      </c>
      <c r="E23" s="21" t="s">
        <v>44</v>
      </c>
      <c r="F23" s="21" t="s">
        <v>17</v>
      </c>
      <c r="G23" s="15" t="s">
        <v>74</v>
      </c>
      <c r="H23" s="22" t="s">
        <v>75</v>
      </c>
      <c r="I23" s="22" t="s">
        <v>75</v>
      </c>
      <c r="J23" s="22"/>
      <c r="K23" s="15" t="s">
        <v>69</v>
      </c>
      <c r="L23" s="15" t="s">
        <v>46</v>
      </c>
      <c r="M23" s="22" t="s">
        <v>76</v>
      </c>
      <c r="N23" s="22"/>
      <c r="O23" s="15" t="s">
        <v>52</v>
      </c>
      <c r="P23" s="15" t="s">
        <v>77</v>
      </c>
      <c r="Q23" s="15" t="s">
        <v>78</v>
      </c>
      <c r="R23" s="22"/>
      <c r="S23" s="20">
        <v>555</v>
      </c>
      <c r="T23" s="15" t="str">
        <f>"345,4320"</f>
        <v>345,4320</v>
      </c>
      <c r="U23" s="21"/>
    </row>
    <row r="25" spans="1:20" ht="15">
      <c r="A25" s="71" t="s">
        <v>79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1"/>
      <c r="T25" s="72"/>
    </row>
    <row r="26" spans="1:21" ht="12.75">
      <c r="A26" s="17" t="s">
        <v>80</v>
      </c>
      <c r="B26" s="14" t="s">
        <v>81</v>
      </c>
      <c r="C26" s="14" t="s">
        <v>82</v>
      </c>
      <c r="D26" s="14" t="str">
        <f>"0,5947"</f>
        <v>0,5947</v>
      </c>
      <c r="E26" s="18" t="s">
        <v>17</v>
      </c>
      <c r="F26" s="18" t="s">
        <v>17</v>
      </c>
      <c r="G26" s="19" t="s">
        <v>51</v>
      </c>
      <c r="H26" s="19" t="s">
        <v>51</v>
      </c>
      <c r="I26" s="14" t="s">
        <v>51</v>
      </c>
      <c r="J26" s="19"/>
      <c r="K26" s="14" t="s">
        <v>24</v>
      </c>
      <c r="L26" s="14" t="s">
        <v>26</v>
      </c>
      <c r="M26" s="14" t="s">
        <v>83</v>
      </c>
      <c r="N26" s="19"/>
      <c r="O26" s="14" t="s">
        <v>84</v>
      </c>
      <c r="P26" s="19" t="s">
        <v>85</v>
      </c>
      <c r="Q26" s="19" t="s">
        <v>85</v>
      </c>
      <c r="R26" s="19"/>
      <c r="S26" s="17">
        <v>540</v>
      </c>
      <c r="T26" s="14" t="str">
        <f>"321,1380"</f>
        <v>321,1380</v>
      </c>
      <c r="U26" s="18"/>
    </row>
    <row r="27" spans="1:21" ht="12.75">
      <c r="A27" s="23" t="s">
        <v>86</v>
      </c>
      <c r="B27" s="16" t="s">
        <v>87</v>
      </c>
      <c r="C27" s="16" t="s">
        <v>88</v>
      </c>
      <c r="D27" s="16" t="str">
        <f>"0,5901"</f>
        <v>0,5901</v>
      </c>
      <c r="E27" s="24" t="s">
        <v>44</v>
      </c>
      <c r="F27" s="24" t="s">
        <v>89</v>
      </c>
      <c r="G27" s="16" t="s">
        <v>67</v>
      </c>
      <c r="H27" s="16" t="s">
        <v>68</v>
      </c>
      <c r="I27" s="16" t="s">
        <v>85</v>
      </c>
      <c r="J27" s="25"/>
      <c r="K27" s="16" t="s">
        <v>46</v>
      </c>
      <c r="L27" s="16" t="s">
        <v>47</v>
      </c>
      <c r="M27" s="16" t="s">
        <v>74</v>
      </c>
      <c r="N27" s="25"/>
      <c r="O27" s="16" t="s">
        <v>90</v>
      </c>
      <c r="P27" s="16" t="s">
        <v>91</v>
      </c>
      <c r="Q27" s="16" t="s">
        <v>92</v>
      </c>
      <c r="R27" s="25"/>
      <c r="S27" s="23">
        <v>700</v>
      </c>
      <c r="T27" s="16" t="str">
        <f>"413,0700"</f>
        <v>413,0700</v>
      </c>
      <c r="U27" s="24"/>
    </row>
    <row r="28" spans="1:21" ht="12.75">
      <c r="A28" s="23" t="s">
        <v>93</v>
      </c>
      <c r="B28" s="16" t="s">
        <v>94</v>
      </c>
      <c r="C28" s="16" t="s">
        <v>95</v>
      </c>
      <c r="D28" s="16" t="str">
        <f>"0,6000"</f>
        <v>0,6000</v>
      </c>
      <c r="E28" s="24" t="s">
        <v>44</v>
      </c>
      <c r="F28" s="24" t="s">
        <v>96</v>
      </c>
      <c r="G28" s="25" t="s">
        <v>84</v>
      </c>
      <c r="H28" s="25" t="s">
        <v>84</v>
      </c>
      <c r="I28" s="25" t="s">
        <v>84</v>
      </c>
      <c r="J28" s="25"/>
      <c r="K28" s="25" t="s">
        <v>69</v>
      </c>
      <c r="L28" s="25"/>
      <c r="M28" s="25"/>
      <c r="N28" s="25"/>
      <c r="O28" s="25" t="s">
        <v>52</v>
      </c>
      <c r="P28" s="25"/>
      <c r="Q28" s="25"/>
      <c r="R28" s="25"/>
      <c r="S28" s="23">
        <v>0</v>
      </c>
      <c r="T28" s="16" t="str">
        <f>"0,0000"</f>
        <v>0,0000</v>
      </c>
      <c r="U28" s="24"/>
    </row>
    <row r="29" spans="1:21" ht="12.75">
      <c r="A29" s="23" t="s">
        <v>97</v>
      </c>
      <c r="B29" s="16" t="s">
        <v>98</v>
      </c>
      <c r="C29" s="16" t="s">
        <v>99</v>
      </c>
      <c r="D29" s="16" t="str">
        <f>"0,5910"</f>
        <v>0,5910</v>
      </c>
      <c r="E29" s="24" t="s">
        <v>17</v>
      </c>
      <c r="F29" s="24" t="s">
        <v>17</v>
      </c>
      <c r="G29" s="25" t="s">
        <v>92</v>
      </c>
      <c r="H29" s="25" t="s">
        <v>92</v>
      </c>
      <c r="I29" s="25" t="s">
        <v>92</v>
      </c>
      <c r="J29" s="25"/>
      <c r="K29" s="25" t="s">
        <v>100</v>
      </c>
      <c r="L29" s="25"/>
      <c r="M29" s="25"/>
      <c r="N29" s="25"/>
      <c r="O29" s="16" t="s">
        <v>90</v>
      </c>
      <c r="P29" s="25" t="s">
        <v>91</v>
      </c>
      <c r="Q29" s="25" t="s">
        <v>101</v>
      </c>
      <c r="R29" s="25"/>
      <c r="S29" s="23">
        <v>0</v>
      </c>
      <c r="T29" s="16" t="str">
        <f>"0,0000"</f>
        <v>0,0000</v>
      </c>
      <c r="U29" s="24"/>
    </row>
    <row r="30" spans="1:21" ht="12.75">
      <c r="A30" s="20" t="s">
        <v>102</v>
      </c>
      <c r="B30" s="15" t="s">
        <v>103</v>
      </c>
      <c r="C30" s="15" t="s">
        <v>104</v>
      </c>
      <c r="D30" s="15" t="str">
        <f>"0,6054"</f>
        <v>0,6054</v>
      </c>
      <c r="E30" s="21" t="s">
        <v>44</v>
      </c>
      <c r="F30" s="21" t="s">
        <v>17</v>
      </c>
      <c r="G30" s="15" t="s">
        <v>100</v>
      </c>
      <c r="H30" s="15" t="s">
        <v>105</v>
      </c>
      <c r="I30" s="22" t="s">
        <v>52</v>
      </c>
      <c r="J30" s="22"/>
      <c r="K30" s="15" t="s">
        <v>26</v>
      </c>
      <c r="L30" s="15" t="s">
        <v>69</v>
      </c>
      <c r="M30" s="15" t="s">
        <v>106</v>
      </c>
      <c r="N30" s="22"/>
      <c r="O30" s="15" t="s">
        <v>52</v>
      </c>
      <c r="P30" s="15" t="s">
        <v>84</v>
      </c>
      <c r="Q30" s="15" t="s">
        <v>77</v>
      </c>
      <c r="R30" s="22"/>
      <c r="S30" s="20">
        <v>552.5</v>
      </c>
      <c r="T30" s="15" t="str">
        <f>"334,4895"</f>
        <v>334,4895</v>
      </c>
      <c r="U30" s="21"/>
    </row>
    <row r="32" spans="1:20" ht="15">
      <c r="A32" s="71" t="s">
        <v>107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1"/>
      <c r="T32" s="72"/>
    </row>
    <row r="33" spans="1:21" ht="12.75">
      <c r="A33" s="17" t="s">
        <v>108</v>
      </c>
      <c r="B33" s="14" t="s">
        <v>109</v>
      </c>
      <c r="C33" s="14" t="s">
        <v>110</v>
      </c>
      <c r="D33" s="14" t="str">
        <f>"0,5365"</f>
        <v>0,5365</v>
      </c>
      <c r="E33" s="18" t="s">
        <v>111</v>
      </c>
      <c r="F33" s="18" t="s">
        <v>112</v>
      </c>
      <c r="G33" s="14" t="s">
        <v>113</v>
      </c>
      <c r="H33" s="14" t="s">
        <v>114</v>
      </c>
      <c r="I33" s="14" t="s">
        <v>101</v>
      </c>
      <c r="J33" s="19"/>
      <c r="K33" s="14" t="s">
        <v>115</v>
      </c>
      <c r="L33" s="14" t="s">
        <v>50</v>
      </c>
      <c r="M33" s="19" t="s">
        <v>105</v>
      </c>
      <c r="N33" s="19"/>
      <c r="O33" s="14" t="s">
        <v>91</v>
      </c>
      <c r="P33" s="14" t="s">
        <v>92</v>
      </c>
      <c r="Q33" s="19" t="s">
        <v>116</v>
      </c>
      <c r="R33" s="19"/>
      <c r="S33" s="17">
        <v>762.5</v>
      </c>
      <c r="T33" s="14" t="str">
        <f>"409,0812"</f>
        <v>409,0812</v>
      </c>
      <c r="U33" s="18"/>
    </row>
    <row r="34" spans="1:21" ht="12.75">
      <c r="A34" s="20" t="s">
        <v>108</v>
      </c>
      <c r="B34" s="15" t="s">
        <v>117</v>
      </c>
      <c r="C34" s="15" t="s">
        <v>110</v>
      </c>
      <c r="D34" s="15" t="str">
        <f>"0,5365"</f>
        <v>0,5365</v>
      </c>
      <c r="E34" s="21" t="s">
        <v>111</v>
      </c>
      <c r="F34" s="21" t="s">
        <v>112</v>
      </c>
      <c r="G34" s="15" t="s">
        <v>113</v>
      </c>
      <c r="H34" s="15" t="s">
        <v>114</v>
      </c>
      <c r="I34" s="15" t="s">
        <v>101</v>
      </c>
      <c r="J34" s="22"/>
      <c r="K34" s="15" t="s">
        <v>115</v>
      </c>
      <c r="L34" s="15" t="s">
        <v>50</v>
      </c>
      <c r="M34" s="22" t="s">
        <v>105</v>
      </c>
      <c r="N34" s="22"/>
      <c r="O34" s="15" t="s">
        <v>91</v>
      </c>
      <c r="P34" s="15" t="s">
        <v>92</v>
      </c>
      <c r="Q34" s="22" t="s">
        <v>116</v>
      </c>
      <c r="R34" s="22"/>
      <c r="S34" s="20">
        <v>762.5</v>
      </c>
      <c r="T34" s="15" t="str">
        <f>"409,0812"</f>
        <v>409,0812</v>
      </c>
      <c r="U34" s="21"/>
    </row>
    <row r="36" ht="15">
      <c r="E36" s="26" t="s">
        <v>118</v>
      </c>
    </row>
    <row r="37" ht="15">
      <c r="E37" s="26" t="s">
        <v>119</v>
      </c>
    </row>
    <row r="38" ht="15">
      <c r="E38" s="26" t="s">
        <v>120</v>
      </c>
    </row>
    <row r="39" ht="12.75">
      <c r="E39" s="8" t="s">
        <v>121</v>
      </c>
    </row>
    <row r="40" ht="12.75">
      <c r="E40" s="8" t="s">
        <v>122</v>
      </c>
    </row>
    <row r="41" ht="12.75">
      <c r="E41" s="8" t="s">
        <v>123</v>
      </c>
    </row>
    <row r="44" spans="1:2" ht="18">
      <c r="A44" s="27" t="s">
        <v>124</v>
      </c>
      <c r="B44" s="28"/>
    </row>
    <row r="45" spans="1:2" ht="15">
      <c r="A45" s="29" t="s">
        <v>125</v>
      </c>
      <c r="B45" s="13"/>
    </row>
    <row r="46" spans="1:2" ht="14.25">
      <c r="A46" s="31" t="s">
        <v>126</v>
      </c>
      <c r="B46" s="32"/>
    </row>
    <row r="47" spans="1:5" ht="15">
      <c r="A47" s="33" t="s">
        <v>0</v>
      </c>
      <c r="B47" s="33" t="s">
        <v>127</v>
      </c>
      <c r="C47" s="33" t="s">
        <v>128</v>
      </c>
      <c r="D47" s="33" t="s">
        <v>7</v>
      </c>
      <c r="E47" s="33" t="s">
        <v>129</v>
      </c>
    </row>
    <row r="48" spans="1:5" ht="12.75">
      <c r="A48" s="30" t="s">
        <v>41</v>
      </c>
      <c r="B48" s="5" t="s">
        <v>126</v>
      </c>
      <c r="C48" s="5" t="s">
        <v>130</v>
      </c>
      <c r="D48" s="5" t="s">
        <v>131</v>
      </c>
      <c r="E48" s="6" t="s">
        <v>132</v>
      </c>
    </row>
    <row r="49" spans="1:5" ht="12.75">
      <c r="A49" s="30" t="s">
        <v>28</v>
      </c>
      <c r="B49" s="5" t="s">
        <v>126</v>
      </c>
      <c r="C49" s="5" t="s">
        <v>133</v>
      </c>
      <c r="D49" s="5" t="s">
        <v>134</v>
      </c>
      <c r="E49" s="6" t="s">
        <v>135</v>
      </c>
    </row>
    <row r="50" spans="1:5" ht="12.75">
      <c r="A50" s="30" t="s">
        <v>36</v>
      </c>
      <c r="B50" s="5" t="s">
        <v>126</v>
      </c>
      <c r="C50" s="5" t="s">
        <v>136</v>
      </c>
      <c r="D50" s="5" t="s">
        <v>91</v>
      </c>
      <c r="E50" s="6" t="s">
        <v>137</v>
      </c>
    </row>
    <row r="52" spans="1:2" ht="14.25">
      <c r="A52" s="31" t="s">
        <v>138</v>
      </c>
      <c r="B52" s="32"/>
    </row>
    <row r="53" spans="1:5" ht="15">
      <c r="A53" s="33" t="s">
        <v>0</v>
      </c>
      <c r="B53" s="33" t="s">
        <v>127</v>
      </c>
      <c r="C53" s="33" t="s">
        <v>128</v>
      </c>
      <c r="D53" s="33" t="s">
        <v>7</v>
      </c>
      <c r="E53" s="33" t="s">
        <v>129</v>
      </c>
    </row>
    <row r="54" spans="1:5" ht="12.75">
      <c r="A54" s="30" t="s">
        <v>14</v>
      </c>
      <c r="B54" s="5" t="s">
        <v>139</v>
      </c>
      <c r="C54" s="5" t="s">
        <v>140</v>
      </c>
      <c r="D54" s="5" t="s">
        <v>141</v>
      </c>
      <c r="E54" s="6" t="s">
        <v>142</v>
      </c>
    </row>
    <row r="55" spans="1:5" ht="12.75">
      <c r="A55" s="30" t="s">
        <v>54</v>
      </c>
      <c r="B55" s="5" t="s">
        <v>139</v>
      </c>
      <c r="C55" s="5" t="s">
        <v>130</v>
      </c>
      <c r="D55" s="5" t="s">
        <v>143</v>
      </c>
      <c r="E55" s="6" t="s">
        <v>144</v>
      </c>
    </row>
    <row r="58" spans="1:2" ht="15">
      <c r="A58" s="29" t="s">
        <v>145</v>
      </c>
      <c r="B58" s="13"/>
    </row>
    <row r="59" spans="1:2" ht="14.25">
      <c r="A59" s="31" t="s">
        <v>146</v>
      </c>
      <c r="B59" s="32"/>
    </row>
    <row r="60" spans="1:5" ht="15">
      <c r="A60" s="33" t="s">
        <v>0</v>
      </c>
      <c r="B60" s="33" t="s">
        <v>127</v>
      </c>
      <c r="C60" s="33" t="s">
        <v>128</v>
      </c>
      <c r="D60" s="33" t="s">
        <v>7</v>
      </c>
      <c r="E60" s="33" t="s">
        <v>129</v>
      </c>
    </row>
    <row r="61" spans="1:5" ht="12.75">
      <c r="A61" s="30" t="s">
        <v>64</v>
      </c>
      <c r="B61" s="5" t="s">
        <v>147</v>
      </c>
      <c r="C61" s="5" t="s">
        <v>148</v>
      </c>
      <c r="D61" s="5" t="s">
        <v>149</v>
      </c>
      <c r="E61" s="6" t="s">
        <v>150</v>
      </c>
    </row>
    <row r="62" spans="1:5" ht="12.75">
      <c r="A62" s="30" t="s">
        <v>80</v>
      </c>
      <c r="B62" s="5" t="s">
        <v>147</v>
      </c>
      <c r="C62" s="5" t="s">
        <v>151</v>
      </c>
      <c r="D62" s="5" t="s">
        <v>152</v>
      </c>
      <c r="E62" s="6" t="s">
        <v>153</v>
      </c>
    </row>
    <row r="64" spans="1:2" ht="14.25">
      <c r="A64" s="31" t="s">
        <v>126</v>
      </c>
      <c r="B64" s="32"/>
    </row>
    <row r="65" spans="1:5" ht="15">
      <c r="A65" s="33" t="s">
        <v>0</v>
      </c>
      <c r="B65" s="33" t="s">
        <v>127</v>
      </c>
      <c r="C65" s="33" t="s">
        <v>128</v>
      </c>
      <c r="D65" s="33" t="s">
        <v>7</v>
      </c>
      <c r="E65" s="33" t="s">
        <v>129</v>
      </c>
    </row>
    <row r="66" spans="1:5" ht="12.75">
      <c r="A66" s="30" t="s">
        <v>86</v>
      </c>
      <c r="B66" s="5" t="s">
        <v>126</v>
      </c>
      <c r="C66" s="5" t="s">
        <v>151</v>
      </c>
      <c r="D66" s="5" t="s">
        <v>154</v>
      </c>
      <c r="E66" s="6" t="s">
        <v>155</v>
      </c>
    </row>
    <row r="67" spans="1:5" ht="12.75">
      <c r="A67" s="30" t="s">
        <v>108</v>
      </c>
      <c r="B67" s="5" t="s">
        <v>126</v>
      </c>
      <c r="C67" s="5" t="s">
        <v>156</v>
      </c>
      <c r="D67" s="5" t="s">
        <v>157</v>
      </c>
      <c r="E67" s="6" t="s">
        <v>158</v>
      </c>
    </row>
    <row r="68" spans="1:5" ht="12.75">
      <c r="A68" s="30" t="s">
        <v>71</v>
      </c>
      <c r="B68" s="5" t="s">
        <v>126</v>
      </c>
      <c r="C68" s="5" t="s">
        <v>148</v>
      </c>
      <c r="D68" s="5" t="s">
        <v>149</v>
      </c>
      <c r="E68" s="6" t="s">
        <v>159</v>
      </c>
    </row>
    <row r="70" spans="1:2" ht="14.25">
      <c r="A70" s="31" t="s">
        <v>138</v>
      </c>
      <c r="B70" s="32"/>
    </row>
    <row r="71" spans="1:5" ht="15">
      <c r="A71" s="33" t="s">
        <v>0</v>
      </c>
      <c r="B71" s="33" t="s">
        <v>127</v>
      </c>
      <c r="C71" s="33" t="s">
        <v>128</v>
      </c>
      <c r="D71" s="33" t="s">
        <v>7</v>
      </c>
      <c r="E71" s="33" t="s">
        <v>129</v>
      </c>
    </row>
    <row r="72" spans="1:5" ht="12.75">
      <c r="A72" s="30" t="s">
        <v>102</v>
      </c>
      <c r="B72" s="5" t="s">
        <v>160</v>
      </c>
      <c r="C72" s="5" t="s">
        <v>151</v>
      </c>
      <c r="D72" s="5" t="s">
        <v>161</v>
      </c>
      <c r="E72" s="6" t="s">
        <v>162</v>
      </c>
    </row>
    <row r="73" spans="1:5" ht="12.75">
      <c r="A73" s="30" t="s">
        <v>60</v>
      </c>
      <c r="B73" s="5" t="s">
        <v>160</v>
      </c>
      <c r="C73" s="5" t="s">
        <v>163</v>
      </c>
      <c r="D73" s="5" t="s">
        <v>164</v>
      </c>
      <c r="E73" s="6" t="s">
        <v>165</v>
      </c>
    </row>
  </sheetData>
  <sheetProtection/>
  <mergeCells count="21">
    <mergeCell ref="A1:U2"/>
    <mergeCell ref="G3:J3"/>
    <mergeCell ref="K3:N3"/>
    <mergeCell ref="O3:R3"/>
    <mergeCell ref="A3:A4"/>
    <mergeCell ref="B3:B4"/>
    <mergeCell ref="C3:C4"/>
    <mergeCell ref="U3:U4"/>
    <mergeCell ref="A32:T32"/>
    <mergeCell ref="D3:D4"/>
    <mergeCell ref="S3:S4"/>
    <mergeCell ref="T3:T4"/>
    <mergeCell ref="A5:T5"/>
    <mergeCell ref="E3:E4"/>
    <mergeCell ref="A11:T11"/>
    <mergeCell ref="A8:T8"/>
    <mergeCell ref="F3:F4"/>
    <mergeCell ref="A14:T14"/>
    <mergeCell ref="A18:T18"/>
    <mergeCell ref="A21:T21"/>
    <mergeCell ref="A25:T25"/>
  </mergeCells>
  <printOptions/>
  <pageMargins left="0.19" right="0.47" top="0.45" bottom="0.49" header="0.5" footer="0.5"/>
  <pageSetup fitToHeight="100" fitToWidth="1" horizontalDpi="300" verticalDpi="300" orientation="landscape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2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27.00390625" style="34" bestFit="1" customWidth="1"/>
    <col min="2" max="2" width="30.875" style="34" bestFit="1" customWidth="1"/>
    <col min="3" max="3" width="7.75390625" style="34" bestFit="1" customWidth="1"/>
    <col min="4" max="4" width="6.875" style="34" bestFit="1" customWidth="1"/>
    <col min="5" max="5" width="17.25390625" style="34" bestFit="1" customWidth="1"/>
    <col min="6" max="6" width="30.00390625" style="34" bestFit="1" customWidth="1"/>
    <col min="7" max="10" width="5.625" style="34" bestFit="1" customWidth="1"/>
    <col min="11" max="11" width="6.75390625" style="34" bestFit="1" customWidth="1"/>
    <col min="12" max="12" width="8.625" style="34" bestFit="1" customWidth="1"/>
    <col min="13" max="13" width="7.375" style="34" bestFit="1" customWidth="1"/>
  </cols>
  <sheetData>
    <row r="1" spans="1:13" s="1" customFormat="1" ht="24" customHeight="1">
      <c r="A1" s="62" t="s">
        <v>773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s="1" customFormat="1" ht="39.75" customHeight="1" thickBo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s="7" customFormat="1" ht="24" customHeight="1">
      <c r="A3" s="58" t="s">
        <v>0</v>
      </c>
      <c r="B3" s="69" t="s">
        <v>12</v>
      </c>
      <c r="C3" s="69" t="s">
        <v>11</v>
      </c>
      <c r="D3" s="54" t="s">
        <v>1</v>
      </c>
      <c r="E3" s="54" t="s">
        <v>2</v>
      </c>
      <c r="F3" s="56" t="s">
        <v>3</v>
      </c>
      <c r="G3" s="58" t="s">
        <v>5</v>
      </c>
      <c r="H3" s="54"/>
      <c r="I3" s="54"/>
      <c r="J3" s="59"/>
      <c r="K3" s="52" t="s">
        <v>7</v>
      </c>
      <c r="L3" s="54" t="s">
        <v>9</v>
      </c>
      <c r="M3" s="59" t="s">
        <v>8</v>
      </c>
    </row>
    <row r="4" spans="1:13" s="7" customFormat="1" ht="24" customHeight="1" thickBot="1">
      <c r="A4" s="68"/>
      <c r="B4" s="55"/>
      <c r="C4" s="55"/>
      <c r="D4" s="55"/>
      <c r="E4" s="55"/>
      <c r="F4" s="57"/>
      <c r="G4" s="3">
        <v>1</v>
      </c>
      <c r="H4" s="2">
        <v>2</v>
      </c>
      <c r="I4" s="2">
        <v>3</v>
      </c>
      <c r="J4" s="4" t="s">
        <v>10</v>
      </c>
      <c r="K4" s="53"/>
      <c r="L4" s="55"/>
      <c r="M4" s="60"/>
    </row>
    <row r="5" spans="1:12" ht="15">
      <c r="A5" s="61" t="s">
        <v>27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3" ht="12.75">
      <c r="A6" s="35" t="s">
        <v>28</v>
      </c>
      <c r="B6" s="35" t="s">
        <v>29</v>
      </c>
      <c r="C6" s="35" t="s">
        <v>30</v>
      </c>
      <c r="D6" s="35" t="str">
        <f>"1,0336"</f>
        <v>1,0336</v>
      </c>
      <c r="E6" s="35" t="s">
        <v>17</v>
      </c>
      <c r="F6" s="35" t="s">
        <v>17</v>
      </c>
      <c r="G6" s="35" t="s">
        <v>34</v>
      </c>
      <c r="H6" s="35" t="s">
        <v>21</v>
      </c>
      <c r="I6" s="36" t="s">
        <v>22</v>
      </c>
      <c r="J6" s="36"/>
      <c r="K6" s="35">
        <v>50</v>
      </c>
      <c r="L6" s="35" t="str">
        <f>"51,6800"</f>
        <v>51,6800</v>
      </c>
      <c r="M6" s="35"/>
    </row>
    <row r="8" spans="1:12" ht="15">
      <c r="A8" s="51" t="s">
        <v>166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3" ht="12.75">
      <c r="A9" s="35" t="s">
        <v>167</v>
      </c>
      <c r="B9" s="35" t="s">
        <v>168</v>
      </c>
      <c r="C9" s="35" t="s">
        <v>169</v>
      </c>
      <c r="D9" s="35" t="str">
        <f>"0,9461"</f>
        <v>0,9461</v>
      </c>
      <c r="E9" s="35" t="s">
        <v>17</v>
      </c>
      <c r="F9" s="35" t="s">
        <v>17</v>
      </c>
      <c r="G9" s="36" t="s">
        <v>34</v>
      </c>
      <c r="H9" s="35" t="s">
        <v>34</v>
      </c>
      <c r="I9" s="35" t="s">
        <v>21</v>
      </c>
      <c r="J9" s="36"/>
      <c r="K9" s="35">
        <v>50</v>
      </c>
      <c r="L9" s="35" t="str">
        <f>"47,3065"</f>
        <v>47,3065</v>
      </c>
      <c r="M9" s="35"/>
    </row>
    <row r="11" spans="1:12" ht="15">
      <c r="A11" s="51" t="s">
        <v>35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pans="1:13" ht="12.75">
      <c r="A12" s="35" t="s">
        <v>36</v>
      </c>
      <c r="B12" s="35" t="s">
        <v>37</v>
      </c>
      <c r="C12" s="35" t="s">
        <v>38</v>
      </c>
      <c r="D12" s="35" t="str">
        <f>"0,8664"</f>
        <v>0,8664</v>
      </c>
      <c r="E12" s="35" t="s">
        <v>17</v>
      </c>
      <c r="F12" s="35" t="s">
        <v>17</v>
      </c>
      <c r="G12" s="35" t="s">
        <v>21</v>
      </c>
      <c r="H12" s="35" t="s">
        <v>22</v>
      </c>
      <c r="I12" s="35" t="s">
        <v>39</v>
      </c>
      <c r="J12" s="36"/>
      <c r="K12" s="35">
        <v>60</v>
      </c>
      <c r="L12" s="35" t="str">
        <f>"51,9840"</f>
        <v>51,9840</v>
      </c>
      <c r="M12" s="35"/>
    </row>
    <row r="14" spans="1:12" ht="15">
      <c r="A14" s="51" t="s">
        <v>40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</row>
    <row r="15" spans="1:13" ht="12.75">
      <c r="A15" s="37" t="s">
        <v>170</v>
      </c>
      <c r="B15" s="37" t="s">
        <v>171</v>
      </c>
      <c r="C15" s="37" t="s">
        <v>172</v>
      </c>
      <c r="D15" s="37" t="str">
        <f>"0,7867"</f>
        <v>0,7867</v>
      </c>
      <c r="E15" s="37" t="s">
        <v>17</v>
      </c>
      <c r="F15" s="37" t="s">
        <v>17</v>
      </c>
      <c r="G15" s="38" t="s">
        <v>19</v>
      </c>
      <c r="H15" s="38" t="s">
        <v>19</v>
      </c>
      <c r="I15" s="38" t="s">
        <v>19</v>
      </c>
      <c r="J15" s="38"/>
      <c r="K15" s="37">
        <v>0</v>
      </c>
      <c r="L15" s="37" t="str">
        <f>"0,0000"</f>
        <v>0,0000</v>
      </c>
      <c r="M15" s="37"/>
    </row>
    <row r="16" spans="1:13" ht="12.75">
      <c r="A16" s="39" t="s">
        <v>170</v>
      </c>
      <c r="B16" s="39" t="s">
        <v>173</v>
      </c>
      <c r="C16" s="39" t="s">
        <v>172</v>
      </c>
      <c r="D16" s="39" t="str">
        <f>"0,7891"</f>
        <v>0,7891</v>
      </c>
      <c r="E16" s="39" t="s">
        <v>17</v>
      </c>
      <c r="F16" s="39" t="s">
        <v>17</v>
      </c>
      <c r="G16" s="40" t="s">
        <v>19</v>
      </c>
      <c r="H16" s="40" t="s">
        <v>19</v>
      </c>
      <c r="I16" s="40" t="s">
        <v>19</v>
      </c>
      <c r="J16" s="40"/>
      <c r="K16" s="39">
        <v>0</v>
      </c>
      <c r="L16" s="39" t="str">
        <f>"0,0000"</f>
        <v>0,0000</v>
      </c>
      <c r="M16" s="39"/>
    </row>
    <row r="17" spans="1:13" ht="12.75">
      <c r="A17" s="41" t="s">
        <v>54</v>
      </c>
      <c r="B17" s="41" t="s">
        <v>55</v>
      </c>
      <c r="C17" s="41" t="s">
        <v>56</v>
      </c>
      <c r="D17" s="41" t="str">
        <f>"0,9848"</f>
        <v>0,9848</v>
      </c>
      <c r="E17" s="41" t="s">
        <v>17</v>
      </c>
      <c r="F17" s="41" t="s">
        <v>17</v>
      </c>
      <c r="G17" s="41" t="s">
        <v>39</v>
      </c>
      <c r="H17" s="41" t="s">
        <v>57</v>
      </c>
      <c r="I17" s="42" t="s">
        <v>58</v>
      </c>
      <c r="J17" s="42"/>
      <c r="K17" s="41">
        <v>62.5</v>
      </c>
      <c r="L17" s="41" t="str">
        <f>"61,5473"</f>
        <v>61,5473</v>
      </c>
      <c r="M17" s="41"/>
    </row>
    <row r="19" spans="1:12" ht="15">
      <c r="A19" s="51" t="s">
        <v>174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</row>
    <row r="20" spans="1:13" ht="12.75">
      <c r="A20" s="35" t="s">
        <v>175</v>
      </c>
      <c r="B20" s="35" t="s">
        <v>176</v>
      </c>
      <c r="C20" s="35" t="s">
        <v>177</v>
      </c>
      <c r="D20" s="35" t="str">
        <f>"0,7438"</f>
        <v>0,7438</v>
      </c>
      <c r="E20" s="35" t="s">
        <v>17</v>
      </c>
      <c r="F20" s="35" t="s">
        <v>17</v>
      </c>
      <c r="G20" s="36" t="s">
        <v>33</v>
      </c>
      <c r="H20" s="35" t="s">
        <v>33</v>
      </c>
      <c r="I20" s="35" t="s">
        <v>178</v>
      </c>
      <c r="J20" s="36"/>
      <c r="K20" s="35">
        <v>95</v>
      </c>
      <c r="L20" s="35" t="str">
        <f>"70,6610"</f>
        <v>70,6610</v>
      </c>
      <c r="M20" s="35"/>
    </row>
    <row r="22" spans="1:12" ht="15">
      <c r="A22" s="51" t="s">
        <v>63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</row>
    <row r="23" spans="1:13" ht="12.75">
      <c r="A23" s="35" t="s">
        <v>179</v>
      </c>
      <c r="B23" s="35" t="s">
        <v>180</v>
      </c>
      <c r="C23" s="35" t="s">
        <v>181</v>
      </c>
      <c r="D23" s="35" t="str">
        <f>"0,7134"</f>
        <v>0,7134</v>
      </c>
      <c r="E23" s="35" t="s">
        <v>182</v>
      </c>
      <c r="F23" s="35" t="s">
        <v>111</v>
      </c>
      <c r="G23" s="36" t="s">
        <v>25</v>
      </c>
      <c r="H23" s="35" t="s">
        <v>25</v>
      </c>
      <c r="I23" s="36" t="s">
        <v>26</v>
      </c>
      <c r="J23" s="36"/>
      <c r="K23" s="35">
        <v>125</v>
      </c>
      <c r="L23" s="35" t="str">
        <f>"89,1750"</f>
        <v>89,1750</v>
      </c>
      <c r="M23" s="35"/>
    </row>
    <row r="25" spans="1:12" ht="15">
      <c r="A25" s="51" t="s">
        <v>79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</row>
    <row r="26" spans="1:13" ht="12.75">
      <c r="A26" s="35" t="s">
        <v>183</v>
      </c>
      <c r="B26" s="35" t="s">
        <v>184</v>
      </c>
      <c r="C26" s="35" t="s">
        <v>185</v>
      </c>
      <c r="D26" s="35" t="str">
        <f>"0,6560"</f>
        <v>0,6560</v>
      </c>
      <c r="E26" s="35" t="s">
        <v>44</v>
      </c>
      <c r="F26" s="35" t="s">
        <v>186</v>
      </c>
      <c r="G26" s="35" t="s">
        <v>25</v>
      </c>
      <c r="H26" s="35" t="s">
        <v>83</v>
      </c>
      <c r="I26" s="35" t="s">
        <v>69</v>
      </c>
      <c r="J26" s="36" t="s">
        <v>187</v>
      </c>
      <c r="K26" s="35">
        <v>140</v>
      </c>
      <c r="L26" s="35" t="str">
        <f>"91,8400"</f>
        <v>91,8400</v>
      </c>
      <c r="M26" s="35"/>
    </row>
    <row r="28" spans="1:12" ht="15">
      <c r="A28" s="51" t="s">
        <v>35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</row>
    <row r="29" spans="1:13" ht="12.75">
      <c r="A29" s="35" t="s">
        <v>188</v>
      </c>
      <c r="B29" s="35" t="s">
        <v>189</v>
      </c>
      <c r="C29" s="35" t="s">
        <v>190</v>
      </c>
      <c r="D29" s="35" t="str">
        <f>"0,8580"</f>
        <v>0,8580</v>
      </c>
      <c r="E29" s="35" t="s">
        <v>44</v>
      </c>
      <c r="F29" s="35" t="s">
        <v>111</v>
      </c>
      <c r="G29" s="35" t="s">
        <v>34</v>
      </c>
      <c r="H29" s="35" t="s">
        <v>21</v>
      </c>
      <c r="I29" s="36" t="s">
        <v>22</v>
      </c>
      <c r="J29" s="36"/>
      <c r="K29" s="35">
        <v>50</v>
      </c>
      <c r="L29" s="35" t="str">
        <f>"42,9000"</f>
        <v>42,9000</v>
      </c>
      <c r="M29" s="35"/>
    </row>
    <row r="31" spans="1:12" ht="15">
      <c r="A31" s="51" t="s">
        <v>174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</row>
    <row r="32" spans="1:13" ht="12.75">
      <c r="A32" s="37" t="s">
        <v>191</v>
      </c>
      <c r="B32" s="37" t="s">
        <v>192</v>
      </c>
      <c r="C32" s="37" t="s">
        <v>193</v>
      </c>
      <c r="D32" s="37" t="str">
        <f>"0,7083"</f>
        <v>0,7083</v>
      </c>
      <c r="E32" s="37" t="s">
        <v>44</v>
      </c>
      <c r="F32" s="37" t="s">
        <v>111</v>
      </c>
      <c r="G32" s="37" t="s">
        <v>58</v>
      </c>
      <c r="H32" s="37" t="s">
        <v>31</v>
      </c>
      <c r="I32" s="37" t="s">
        <v>48</v>
      </c>
      <c r="J32" s="38"/>
      <c r="K32" s="37">
        <v>75</v>
      </c>
      <c r="L32" s="37" t="str">
        <f>"53,1225"</f>
        <v>53,1225</v>
      </c>
      <c r="M32" s="37"/>
    </row>
    <row r="33" spans="1:13" ht="12.75">
      <c r="A33" s="41" t="s">
        <v>194</v>
      </c>
      <c r="B33" s="41" t="s">
        <v>195</v>
      </c>
      <c r="C33" s="41" t="s">
        <v>196</v>
      </c>
      <c r="D33" s="41" t="str">
        <f>"0,6645"</f>
        <v>0,6645</v>
      </c>
      <c r="E33" s="41" t="s">
        <v>44</v>
      </c>
      <c r="F33" s="41" t="s">
        <v>197</v>
      </c>
      <c r="G33" s="41" t="s">
        <v>46</v>
      </c>
      <c r="H33" s="41" t="s">
        <v>76</v>
      </c>
      <c r="I33" s="41" t="s">
        <v>47</v>
      </c>
      <c r="J33" s="42"/>
      <c r="K33" s="41">
        <v>160</v>
      </c>
      <c r="L33" s="41" t="str">
        <f>"106,3200"</f>
        <v>106,3200</v>
      </c>
      <c r="M33" s="41"/>
    </row>
    <row r="35" spans="1:12" ht="15">
      <c r="A35" s="51" t="s">
        <v>63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</row>
    <row r="36" spans="1:13" ht="12.75">
      <c r="A36" s="37" t="s">
        <v>198</v>
      </c>
      <c r="B36" s="37" t="s">
        <v>199</v>
      </c>
      <c r="C36" s="37" t="s">
        <v>200</v>
      </c>
      <c r="D36" s="37" t="str">
        <f>"0,6505"</f>
        <v>0,6505</v>
      </c>
      <c r="E36" s="37" t="s">
        <v>44</v>
      </c>
      <c r="F36" s="37" t="s">
        <v>111</v>
      </c>
      <c r="G36" s="38" t="s">
        <v>49</v>
      </c>
      <c r="H36" s="37" t="s">
        <v>32</v>
      </c>
      <c r="I36" s="37" t="s">
        <v>201</v>
      </c>
      <c r="J36" s="38"/>
      <c r="K36" s="37">
        <v>82.5</v>
      </c>
      <c r="L36" s="37" t="str">
        <f>"53,6662"</f>
        <v>53,6662</v>
      </c>
      <c r="M36" s="37"/>
    </row>
    <row r="37" spans="1:13" ht="12.75">
      <c r="A37" s="39" t="s">
        <v>202</v>
      </c>
      <c r="B37" s="39" t="s">
        <v>203</v>
      </c>
      <c r="C37" s="39" t="s">
        <v>204</v>
      </c>
      <c r="D37" s="39" t="str">
        <f>"1,2890"</f>
        <v>1,2890</v>
      </c>
      <c r="E37" s="39" t="s">
        <v>111</v>
      </c>
      <c r="F37" s="39" t="s">
        <v>205</v>
      </c>
      <c r="G37" s="39" t="s">
        <v>33</v>
      </c>
      <c r="H37" s="39" t="s">
        <v>18</v>
      </c>
      <c r="I37" s="39" t="s">
        <v>206</v>
      </c>
      <c r="J37" s="40"/>
      <c r="K37" s="39">
        <v>105</v>
      </c>
      <c r="L37" s="39" t="str">
        <f>"135,3438"</f>
        <v>135,3438</v>
      </c>
      <c r="M37" s="39"/>
    </row>
    <row r="38" spans="1:13" ht="12.75">
      <c r="A38" s="41" t="s">
        <v>198</v>
      </c>
      <c r="B38" s="41" t="s">
        <v>207</v>
      </c>
      <c r="C38" s="41" t="s">
        <v>200</v>
      </c>
      <c r="D38" s="41" t="str">
        <f>"1,3582"</f>
        <v>1,3582</v>
      </c>
      <c r="E38" s="41" t="s">
        <v>44</v>
      </c>
      <c r="F38" s="41" t="s">
        <v>111</v>
      </c>
      <c r="G38" s="42" t="s">
        <v>49</v>
      </c>
      <c r="H38" s="41" t="s">
        <v>32</v>
      </c>
      <c r="I38" s="41" t="s">
        <v>201</v>
      </c>
      <c r="J38" s="42"/>
      <c r="K38" s="41">
        <v>82.5</v>
      </c>
      <c r="L38" s="41" t="str">
        <f>"112,0551"</f>
        <v>112,0551</v>
      </c>
      <c r="M38" s="41"/>
    </row>
    <row r="40" spans="1:12" ht="15">
      <c r="A40" s="51" t="s">
        <v>79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</row>
    <row r="41" spans="1:13" ht="12.75">
      <c r="A41" s="37" t="s">
        <v>208</v>
      </c>
      <c r="B41" s="37" t="s">
        <v>209</v>
      </c>
      <c r="C41" s="37" t="s">
        <v>210</v>
      </c>
      <c r="D41" s="37" t="str">
        <f>"0,5905"</f>
        <v>0,5905</v>
      </c>
      <c r="E41" s="37" t="s">
        <v>44</v>
      </c>
      <c r="F41" s="37" t="s">
        <v>211</v>
      </c>
      <c r="G41" s="37" t="s">
        <v>51</v>
      </c>
      <c r="H41" s="37" t="s">
        <v>212</v>
      </c>
      <c r="I41" s="37" t="s">
        <v>52</v>
      </c>
      <c r="J41" s="38"/>
      <c r="K41" s="37">
        <v>200</v>
      </c>
      <c r="L41" s="37" t="str">
        <f>"118,1000"</f>
        <v>118,1000</v>
      </c>
      <c r="M41" s="37"/>
    </row>
    <row r="42" spans="1:13" ht="12.75">
      <c r="A42" s="39" t="s">
        <v>213</v>
      </c>
      <c r="B42" s="39" t="s">
        <v>214</v>
      </c>
      <c r="C42" s="39" t="s">
        <v>215</v>
      </c>
      <c r="D42" s="39" t="str">
        <f>"0,5914"</f>
        <v>0,5914</v>
      </c>
      <c r="E42" s="39" t="s">
        <v>44</v>
      </c>
      <c r="F42" s="39" t="s">
        <v>197</v>
      </c>
      <c r="G42" s="39" t="s">
        <v>69</v>
      </c>
      <c r="H42" s="39" t="s">
        <v>46</v>
      </c>
      <c r="I42" s="40" t="s">
        <v>216</v>
      </c>
      <c r="J42" s="40"/>
      <c r="K42" s="39">
        <v>150</v>
      </c>
      <c r="L42" s="39" t="str">
        <f>"88,7100"</f>
        <v>88,7100</v>
      </c>
      <c r="M42" s="39"/>
    </row>
    <row r="43" spans="1:13" ht="12.75">
      <c r="A43" s="39" t="s">
        <v>217</v>
      </c>
      <c r="B43" s="39" t="s">
        <v>218</v>
      </c>
      <c r="C43" s="39" t="s">
        <v>219</v>
      </c>
      <c r="D43" s="39" t="str">
        <f>"0,5946"</f>
        <v>0,5946</v>
      </c>
      <c r="E43" s="39" t="s">
        <v>44</v>
      </c>
      <c r="F43" s="39" t="s">
        <v>17</v>
      </c>
      <c r="G43" s="39" t="s">
        <v>47</v>
      </c>
      <c r="H43" s="39" t="s">
        <v>115</v>
      </c>
      <c r="I43" s="40" t="s">
        <v>50</v>
      </c>
      <c r="J43" s="40"/>
      <c r="K43" s="39">
        <v>172.5</v>
      </c>
      <c r="L43" s="39" t="str">
        <f>"102,5691"</f>
        <v>102,5691</v>
      </c>
      <c r="M43" s="39"/>
    </row>
    <row r="44" spans="1:13" ht="12.75">
      <c r="A44" s="41" t="s">
        <v>220</v>
      </c>
      <c r="B44" s="41" t="s">
        <v>221</v>
      </c>
      <c r="C44" s="41" t="s">
        <v>185</v>
      </c>
      <c r="D44" s="41" t="str">
        <f>"0,7750"</f>
        <v>0,7750</v>
      </c>
      <c r="E44" s="41" t="s">
        <v>111</v>
      </c>
      <c r="F44" s="41" t="s">
        <v>111</v>
      </c>
      <c r="G44" s="41" t="s">
        <v>25</v>
      </c>
      <c r="H44" s="41" t="s">
        <v>26</v>
      </c>
      <c r="I44" s="42" t="s">
        <v>83</v>
      </c>
      <c r="J44" s="42"/>
      <c r="K44" s="41">
        <v>130</v>
      </c>
      <c r="L44" s="41" t="str">
        <f>"100,7507"</f>
        <v>100,7507</v>
      </c>
      <c r="M44" s="41"/>
    </row>
    <row r="46" spans="1:12" ht="15">
      <c r="A46" s="51" t="s">
        <v>222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</row>
    <row r="47" spans="1:13" ht="12.75">
      <c r="A47" s="37" t="s">
        <v>223</v>
      </c>
      <c r="B47" s="37" t="s">
        <v>224</v>
      </c>
      <c r="C47" s="37" t="s">
        <v>225</v>
      </c>
      <c r="D47" s="37" t="str">
        <f>"0,5627"</f>
        <v>0,5627</v>
      </c>
      <c r="E47" s="37" t="s">
        <v>44</v>
      </c>
      <c r="F47" s="37" t="s">
        <v>197</v>
      </c>
      <c r="G47" s="37" t="s">
        <v>31</v>
      </c>
      <c r="H47" s="37" t="s">
        <v>48</v>
      </c>
      <c r="I47" s="37" t="s">
        <v>32</v>
      </c>
      <c r="J47" s="38"/>
      <c r="K47" s="37">
        <v>80</v>
      </c>
      <c r="L47" s="37" t="str">
        <f>"45,0160"</f>
        <v>45,0160</v>
      </c>
      <c r="M47" s="37"/>
    </row>
    <row r="48" spans="1:13" ht="12.75">
      <c r="A48" s="39" t="s">
        <v>226</v>
      </c>
      <c r="B48" s="39" t="s">
        <v>227</v>
      </c>
      <c r="C48" s="39" t="s">
        <v>228</v>
      </c>
      <c r="D48" s="39" t="str">
        <f>"0,5573"</f>
        <v>0,5573</v>
      </c>
      <c r="E48" s="39" t="s">
        <v>44</v>
      </c>
      <c r="F48" s="39" t="s">
        <v>197</v>
      </c>
      <c r="G48" s="39" t="s">
        <v>84</v>
      </c>
      <c r="H48" s="39" t="s">
        <v>77</v>
      </c>
      <c r="I48" s="40" t="s">
        <v>85</v>
      </c>
      <c r="J48" s="40"/>
      <c r="K48" s="39">
        <v>225</v>
      </c>
      <c r="L48" s="39" t="str">
        <f>"125,3925"</f>
        <v>125,3925</v>
      </c>
      <c r="M48" s="39"/>
    </row>
    <row r="49" spans="1:13" ht="12.75">
      <c r="A49" s="39" t="s">
        <v>229</v>
      </c>
      <c r="B49" s="39" t="s">
        <v>230</v>
      </c>
      <c r="C49" s="39" t="s">
        <v>231</v>
      </c>
      <c r="D49" s="39" t="str">
        <f>"0,5602"</f>
        <v>0,5602</v>
      </c>
      <c r="E49" s="39" t="s">
        <v>44</v>
      </c>
      <c r="F49" s="39" t="s">
        <v>111</v>
      </c>
      <c r="G49" s="40" t="s">
        <v>67</v>
      </c>
      <c r="H49" s="39" t="s">
        <v>67</v>
      </c>
      <c r="I49" s="40" t="s">
        <v>84</v>
      </c>
      <c r="J49" s="40"/>
      <c r="K49" s="39">
        <v>210</v>
      </c>
      <c r="L49" s="39" t="str">
        <f>"117,6420"</f>
        <v>117,6420</v>
      </c>
      <c r="M49" s="39"/>
    </row>
    <row r="50" spans="1:13" ht="12.75">
      <c r="A50" s="39" t="s">
        <v>232</v>
      </c>
      <c r="B50" s="39" t="s">
        <v>233</v>
      </c>
      <c r="C50" s="39" t="s">
        <v>234</v>
      </c>
      <c r="D50" s="39" t="str">
        <f>"0,5591"</f>
        <v>0,5591</v>
      </c>
      <c r="E50" s="39" t="s">
        <v>111</v>
      </c>
      <c r="F50" s="39" t="s">
        <v>235</v>
      </c>
      <c r="G50" s="39" t="s">
        <v>52</v>
      </c>
      <c r="H50" s="39" t="s">
        <v>67</v>
      </c>
      <c r="I50" s="40" t="s">
        <v>84</v>
      </c>
      <c r="J50" s="40"/>
      <c r="K50" s="39">
        <v>210</v>
      </c>
      <c r="L50" s="39" t="str">
        <f>"117,4110"</f>
        <v>117,4110</v>
      </c>
      <c r="M50" s="39"/>
    </row>
    <row r="51" spans="1:13" ht="12.75">
      <c r="A51" s="39" t="s">
        <v>236</v>
      </c>
      <c r="B51" s="39" t="s">
        <v>237</v>
      </c>
      <c r="C51" s="39" t="s">
        <v>238</v>
      </c>
      <c r="D51" s="39" t="str">
        <f>"0,5681"</f>
        <v>0,5681</v>
      </c>
      <c r="E51" s="39" t="s">
        <v>17</v>
      </c>
      <c r="F51" s="39" t="s">
        <v>17</v>
      </c>
      <c r="G51" s="39" t="s">
        <v>51</v>
      </c>
      <c r="H51" s="39" t="s">
        <v>52</v>
      </c>
      <c r="I51" s="40" t="s">
        <v>67</v>
      </c>
      <c r="J51" s="40"/>
      <c r="K51" s="39">
        <v>200</v>
      </c>
      <c r="L51" s="39" t="str">
        <f>"113,6200"</f>
        <v>113,6200</v>
      </c>
      <c r="M51" s="39"/>
    </row>
    <row r="52" spans="1:13" ht="12.75">
      <c r="A52" s="39" t="s">
        <v>239</v>
      </c>
      <c r="B52" s="39" t="s">
        <v>240</v>
      </c>
      <c r="C52" s="39" t="s">
        <v>241</v>
      </c>
      <c r="D52" s="39" t="str">
        <f>"0,5801"</f>
        <v>0,5801</v>
      </c>
      <c r="E52" s="39" t="s">
        <v>44</v>
      </c>
      <c r="F52" s="39" t="s">
        <v>186</v>
      </c>
      <c r="G52" s="39" t="s">
        <v>47</v>
      </c>
      <c r="H52" s="39" t="s">
        <v>74</v>
      </c>
      <c r="I52" s="40" t="s">
        <v>51</v>
      </c>
      <c r="J52" s="40"/>
      <c r="K52" s="39">
        <v>170</v>
      </c>
      <c r="L52" s="39" t="str">
        <f>"98,6170"</f>
        <v>98,6170</v>
      </c>
      <c r="M52" s="39"/>
    </row>
    <row r="53" spans="1:13" ht="12.75">
      <c r="A53" s="39" t="s">
        <v>236</v>
      </c>
      <c r="B53" s="39" t="s">
        <v>242</v>
      </c>
      <c r="C53" s="39" t="s">
        <v>238</v>
      </c>
      <c r="D53" s="39" t="str">
        <f>"0,5857"</f>
        <v>0,5857</v>
      </c>
      <c r="E53" s="39" t="s">
        <v>17</v>
      </c>
      <c r="F53" s="39" t="s">
        <v>17</v>
      </c>
      <c r="G53" s="39" t="s">
        <v>51</v>
      </c>
      <c r="H53" s="39" t="s">
        <v>52</v>
      </c>
      <c r="I53" s="40" t="s">
        <v>67</v>
      </c>
      <c r="J53" s="40"/>
      <c r="K53" s="39">
        <v>200</v>
      </c>
      <c r="L53" s="39" t="str">
        <f>"117,1422"</f>
        <v>117,1422</v>
      </c>
      <c r="M53" s="39"/>
    </row>
    <row r="54" spans="1:13" ht="12.75">
      <c r="A54" s="39" t="s">
        <v>243</v>
      </c>
      <c r="B54" s="39" t="s">
        <v>244</v>
      </c>
      <c r="C54" s="39" t="s">
        <v>245</v>
      </c>
      <c r="D54" s="39" t="str">
        <f>"0,5687"</f>
        <v>0,5687</v>
      </c>
      <c r="E54" s="39" t="s">
        <v>246</v>
      </c>
      <c r="F54" s="39" t="s">
        <v>197</v>
      </c>
      <c r="G54" s="39" t="s">
        <v>24</v>
      </c>
      <c r="H54" s="39" t="s">
        <v>83</v>
      </c>
      <c r="I54" s="40" t="s">
        <v>247</v>
      </c>
      <c r="J54" s="40"/>
      <c r="K54" s="39">
        <v>135</v>
      </c>
      <c r="L54" s="39" t="str">
        <f>"76,7708"</f>
        <v>76,7708</v>
      </c>
      <c r="M54" s="39"/>
    </row>
    <row r="55" spans="1:13" ht="12.75">
      <c r="A55" s="41" t="s">
        <v>248</v>
      </c>
      <c r="B55" s="41" t="s">
        <v>249</v>
      </c>
      <c r="C55" s="41" t="s">
        <v>231</v>
      </c>
      <c r="D55" s="41" t="str">
        <f>"0,8599"</f>
        <v>0,8599</v>
      </c>
      <c r="E55" s="41" t="s">
        <v>111</v>
      </c>
      <c r="F55" s="41" t="s">
        <v>197</v>
      </c>
      <c r="G55" s="41" t="s">
        <v>50</v>
      </c>
      <c r="H55" s="41" t="s">
        <v>51</v>
      </c>
      <c r="I55" s="41" t="s">
        <v>212</v>
      </c>
      <c r="J55" s="42"/>
      <c r="K55" s="41">
        <v>195</v>
      </c>
      <c r="L55" s="41" t="str">
        <f>"167,6819"</f>
        <v>167,6819</v>
      </c>
      <c r="M55" s="41"/>
    </row>
    <row r="57" spans="1:12" ht="15">
      <c r="A57" s="51" t="s">
        <v>107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</row>
    <row r="58" spans="1:13" ht="12.75">
      <c r="A58" s="37" t="s">
        <v>250</v>
      </c>
      <c r="B58" s="37" t="s">
        <v>251</v>
      </c>
      <c r="C58" s="37" t="s">
        <v>252</v>
      </c>
      <c r="D58" s="37" t="str">
        <f>"0,5455"</f>
        <v>0,5455</v>
      </c>
      <c r="E58" s="37" t="s">
        <v>44</v>
      </c>
      <c r="F58" s="37" t="s">
        <v>253</v>
      </c>
      <c r="G58" s="37" t="s">
        <v>254</v>
      </c>
      <c r="H58" s="37" t="s">
        <v>255</v>
      </c>
      <c r="I58" s="38" t="s">
        <v>115</v>
      </c>
      <c r="J58" s="38"/>
      <c r="K58" s="37">
        <v>162.5</v>
      </c>
      <c r="L58" s="37" t="str">
        <f>"88,6437"</f>
        <v>88,6437</v>
      </c>
      <c r="M58" s="37"/>
    </row>
    <row r="59" spans="1:13" ht="12.75">
      <c r="A59" s="39" t="s">
        <v>256</v>
      </c>
      <c r="B59" s="39" t="s">
        <v>257</v>
      </c>
      <c r="C59" s="39" t="s">
        <v>258</v>
      </c>
      <c r="D59" s="39" t="str">
        <f>"0,5373"</f>
        <v>0,5373</v>
      </c>
      <c r="E59" s="39" t="s">
        <v>44</v>
      </c>
      <c r="F59" s="39" t="s">
        <v>197</v>
      </c>
      <c r="G59" s="39" t="s">
        <v>70</v>
      </c>
      <c r="H59" s="40" t="s">
        <v>67</v>
      </c>
      <c r="I59" s="40" t="s">
        <v>67</v>
      </c>
      <c r="J59" s="40"/>
      <c r="K59" s="39">
        <v>205</v>
      </c>
      <c r="L59" s="39" t="str">
        <f>"110,1465"</f>
        <v>110,1465</v>
      </c>
      <c r="M59" s="39"/>
    </row>
    <row r="60" spans="1:13" ht="12.75">
      <c r="A60" s="39" t="s">
        <v>259</v>
      </c>
      <c r="B60" s="39" t="s">
        <v>260</v>
      </c>
      <c r="C60" s="39" t="s">
        <v>261</v>
      </c>
      <c r="D60" s="39" t="str">
        <f>"0,5414"</f>
        <v>0,5414</v>
      </c>
      <c r="E60" s="39" t="s">
        <v>182</v>
      </c>
      <c r="F60" s="39" t="s">
        <v>262</v>
      </c>
      <c r="G60" s="39" t="s">
        <v>263</v>
      </c>
      <c r="H60" s="39" t="s">
        <v>75</v>
      </c>
      <c r="I60" s="40" t="s">
        <v>264</v>
      </c>
      <c r="J60" s="40"/>
      <c r="K60" s="39">
        <v>192.5</v>
      </c>
      <c r="L60" s="39" t="str">
        <f>"104,2195"</f>
        <v>104,2195</v>
      </c>
      <c r="M60" s="39"/>
    </row>
    <row r="61" spans="1:13" ht="12.75">
      <c r="A61" s="39" t="s">
        <v>265</v>
      </c>
      <c r="B61" s="39" t="s">
        <v>266</v>
      </c>
      <c r="C61" s="39" t="s">
        <v>267</v>
      </c>
      <c r="D61" s="39" t="str">
        <f>"0,5427"</f>
        <v>0,5427</v>
      </c>
      <c r="E61" s="39" t="s">
        <v>44</v>
      </c>
      <c r="F61" s="39" t="s">
        <v>197</v>
      </c>
      <c r="G61" s="40" t="s">
        <v>52</v>
      </c>
      <c r="H61" s="40" t="s">
        <v>52</v>
      </c>
      <c r="I61" s="40"/>
      <c r="J61" s="40"/>
      <c r="K61" s="39">
        <v>0</v>
      </c>
      <c r="L61" s="39" t="str">
        <f>"0,0000"</f>
        <v>0,0000</v>
      </c>
      <c r="M61" s="39"/>
    </row>
    <row r="62" spans="1:13" ht="12.75">
      <c r="A62" s="41" t="s">
        <v>268</v>
      </c>
      <c r="B62" s="41" t="s">
        <v>269</v>
      </c>
      <c r="C62" s="41" t="s">
        <v>270</v>
      </c>
      <c r="D62" s="41" t="str">
        <f>"0,5750"</f>
        <v>0,5750</v>
      </c>
      <c r="E62" s="41" t="s">
        <v>44</v>
      </c>
      <c r="F62" s="41" t="s">
        <v>197</v>
      </c>
      <c r="G62" s="41" t="s">
        <v>52</v>
      </c>
      <c r="H62" s="41" t="s">
        <v>70</v>
      </c>
      <c r="I62" s="41" t="s">
        <v>271</v>
      </c>
      <c r="J62" s="42"/>
      <c r="K62" s="41">
        <v>207.5</v>
      </c>
      <c r="L62" s="41" t="str">
        <f>"119,3203"</f>
        <v>119,3203</v>
      </c>
      <c r="M62" s="41"/>
    </row>
    <row r="64" spans="1:12" ht="15">
      <c r="A64" s="51" t="s">
        <v>272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</row>
    <row r="65" spans="1:13" ht="12.75">
      <c r="A65" s="35" t="s">
        <v>273</v>
      </c>
      <c r="B65" s="35" t="s">
        <v>274</v>
      </c>
      <c r="C65" s="35" t="s">
        <v>275</v>
      </c>
      <c r="D65" s="35" t="str">
        <f>"0,5410"</f>
        <v>0,5410</v>
      </c>
      <c r="E65" s="35" t="s">
        <v>44</v>
      </c>
      <c r="F65" s="35" t="s">
        <v>197</v>
      </c>
      <c r="G65" s="35" t="s">
        <v>50</v>
      </c>
      <c r="H65" s="35" t="s">
        <v>51</v>
      </c>
      <c r="I65" s="35" t="s">
        <v>212</v>
      </c>
      <c r="J65" s="36"/>
      <c r="K65" s="35">
        <v>195</v>
      </c>
      <c r="L65" s="35" t="str">
        <f>"105,5000"</f>
        <v>105,5000</v>
      </c>
      <c r="M65" s="35"/>
    </row>
    <row r="67" ht="15">
      <c r="E67" s="43" t="s">
        <v>118</v>
      </c>
    </row>
    <row r="68" ht="15">
      <c r="E68" s="43" t="s">
        <v>119</v>
      </c>
    </row>
    <row r="69" ht="15">
      <c r="E69" s="43" t="s">
        <v>120</v>
      </c>
    </row>
    <row r="70" ht="12.75">
      <c r="E70" s="34" t="s">
        <v>121</v>
      </c>
    </row>
    <row r="71" ht="12.75">
      <c r="E71" s="34" t="s">
        <v>122</v>
      </c>
    </row>
    <row r="72" ht="12.75">
      <c r="E72" s="34" t="s">
        <v>123</v>
      </c>
    </row>
    <row r="75" spans="1:2" ht="18">
      <c r="A75" s="44" t="s">
        <v>124</v>
      </c>
      <c r="B75" s="44"/>
    </row>
    <row r="76" spans="1:2" ht="15">
      <c r="A76" s="45" t="s">
        <v>125</v>
      </c>
      <c r="B76" s="45"/>
    </row>
    <row r="77" spans="1:2" ht="14.25">
      <c r="A77" s="47" t="s">
        <v>126</v>
      </c>
      <c r="B77" s="48"/>
    </row>
    <row r="78" spans="1:5" ht="15">
      <c r="A78" s="49" t="s">
        <v>0</v>
      </c>
      <c r="B78" s="49" t="s">
        <v>127</v>
      </c>
      <c r="C78" s="49" t="s">
        <v>128</v>
      </c>
      <c r="D78" s="49" t="s">
        <v>7</v>
      </c>
      <c r="E78" s="49" t="s">
        <v>129</v>
      </c>
    </row>
    <row r="79" spans="1:5" ht="12.75">
      <c r="A79" s="46" t="s">
        <v>183</v>
      </c>
      <c r="B79" s="34" t="s">
        <v>126</v>
      </c>
      <c r="C79" s="34" t="s">
        <v>151</v>
      </c>
      <c r="D79" s="34" t="s">
        <v>69</v>
      </c>
      <c r="E79" s="50" t="s">
        <v>276</v>
      </c>
    </row>
    <row r="80" spans="1:5" ht="12.75">
      <c r="A80" s="46" t="s">
        <v>179</v>
      </c>
      <c r="B80" s="34" t="s">
        <v>126</v>
      </c>
      <c r="C80" s="34" t="s">
        <v>148</v>
      </c>
      <c r="D80" s="34" t="s">
        <v>25</v>
      </c>
      <c r="E80" s="50" t="s">
        <v>277</v>
      </c>
    </row>
    <row r="81" spans="1:5" ht="12.75">
      <c r="A81" s="46" t="s">
        <v>175</v>
      </c>
      <c r="B81" s="34" t="s">
        <v>126</v>
      </c>
      <c r="C81" s="34" t="s">
        <v>278</v>
      </c>
      <c r="D81" s="34" t="s">
        <v>178</v>
      </c>
      <c r="E81" s="50" t="s">
        <v>279</v>
      </c>
    </row>
    <row r="82" spans="1:5" ht="12.75">
      <c r="A82" s="46" t="s">
        <v>36</v>
      </c>
      <c r="B82" s="34" t="s">
        <v>126</v>
      </c>
      <c r="C82" s="34" t="s">
        <v>136</v>
      </c>
      <c r="D82" s="34" t="s">
        <v>39</v>
      </c>
      <c r="E82" s="50" t="s">
        <v>280</v>
      </c>
    </row>
    <row r="83" spans="1:5" ht="12.75">
      <c r="A83" s="46" t="s">
        <v>28</v>
      </c>
      <c r="B83" s="34" t="s">
        <v>126</v>
      </c>
      <c r="C83" s="34" t="s">
        <v>133</v>
      </c>
      <c r="D83" s="34" t="s">
        <v>21</v>
      </c>
      <c r="E83" s="50" t="s">
        <v>281</v>
      </c>
    </row>
    <row r="85" spans="1:2" ht="14.25">
      <c r="A85" s="47" t="s">
        <v>138</v>
      </c>
      <c r="B85" s="48"/>
    </row>
    <row r="86" spans="1:5" ht="15">
      <c r="A86" s="49" t="s">
        <v>0</v>
      </c>
      <c r="B86" s="49" t="s">
        <v>127</v>
      </c>
      <c r="C86" s="49" t="s">
        <v>128</v>
      </c>
      <c r="D86" s="49" t="s">
        <v>7</v>
      </c>
      <c r="E86" s="49" t="s">
        <v>129</v>
      </c>
    </row>
    <row r="87" spans="1:5" ht="12.75">
      <c r="A87" s="46" t="s">
        <v>54</v>
      </c>
      <c r="B87" s="34" t="s">
        <v>139</v>
      </c>
      <c r="C87" s="34" t="s">
        <v>130</v>
      </c>
      <c r="D87" s="34" t="s">
        <v>57</v>
      </c>
      <c r="E87" s="50" t="s">
        <v>282</v>
      </c>
    </row>
    <row r="88" spans="1:5" ht="12.75">
      <c r="A88" s="46" t="s">
        <v>167</v>
      </c>
      <c r="B88" s="34" t="s">
        <v>160</v>
      </c>
      <c r="C88" s="34" t="s">
        <v>283</v>
      </c>
      <c r="D88" s="34" t="s">
        <v>21</v>
      </c>
      <c r="E88" s="50" t="s">
        <v>284</v>
      </c>
    </row>
    <row r="91" spans="1:2" ht="15">
      <c r="A91" s="45" t="s">
        <v>145</v>
      </c>
      <c r="B91" s="45"/>
    </row>
    <row r="92" spans="1:2" ht="14.25">
      <c r="A92" s="47" t="s">
        <v>285</v>
      </c>
      <c r="B92" s="48"/>
    </row>
    <row r="93" spans="1:5" ht="15">
      <c r="A93" s="49" t="s">
        <v>0</v>
      </c>
      <c r="B93" s="49" t="s">
        <v>127</v>
      </c>
      <c r="C93" s="49" t="s">
        <v>128</v>
      </c>
      <c r="D93" s="49" t="s">
        <v>7</v>
      </c>
      <c r="E93" s="49" t="s">
        <v>129</v>
      </c>
    </row>
    <row r="94" spans="1:5" ht="12.75">
      <c r="A94" s="46" t="s">
        <v>250</v>
      </c>
      <c r="B94" s="34" t="s">
        <v>286</v>
      </c>
      <c r="C94" s="34" t="s">
        <v>156</v>
      </c>
      <c r="D94" s="34" t="s">
        <v>255</v>
      </c>
      <c r="E94" s="50" t="s">
        <v>287</v>
      </c>
    </row>
    <row r="95" spans="1:5" ht="12.75">
      <c r="A95" s="46" t="s">
        <v>191</v>
      </c>
      <c r="B95" s="34" t="s">
        <v>288</v>
      </c>
      <c r="C95" s="34" t="s">
        <v>278</v>
      </c>
      <c r="D95" s="34" t="s">
        <v>48</v>
      </c>
      <c r="E95" s="50" t="s">
        <v>289</v>
      </c>
    </row>
    <row r="96" spans="1:5" ht="12.75">
      <c r="A96" s="46" t="s">
        <v>223</v>
      </c>
      <c r="B96" s="34" t="s">
        <v>288</v>
      </c>
      <c r="C96" s="34" t="s">
        <v>290</v>
      </c>
      <c r="D96" s="34" t="s">
        <v>32</v>
      </c>
      <c r="E96" s="50" t="s">
        <v>291</v>
      </c>
    </row>
    <row r="97" spans="1:5" ht="12.75">
      <c r="A97" s="46" t="s">
        <v>188</v>
      </c>
      <c r="B97" s="34" t="s">
        <v>288</v>
      </c>
      <c r="C97" s="34" t="s">
        <v>136</v>
      </c>
      <c r="D97" s="34" t="s">
        <v>21</v>
      </c>
      <c r="E97" s="50" t="s">
        <v>292</v>
      </c>
    </row>
    <row r="99" spans="1:2" ht="14.25">
      <c r="A99" s="47" t="s">
        <v>126</v>
      </c>
      <c r="B99" s="48"/>
    </row>
    <row r="100" spans="1:5" ht="15">
      <c r="A100" s="49" t="s">
        <v>0</v>
      </c>
      <c r="B100" s="49" t="s">
        <v>127</v>
      </c>
      <c r="C100" s="49" t="s">
        <v>128</v>
      </c>
      <c r="D100" s="49" t="s">
        <v>7</v>
      </c>
      <c r="E100" s="49" t="s">
        <v>129</v>
      </c>
    </row>
    <row r="101" spans="1:5" ht="12.75">
      <c r="A101" s="46" t="s">
        <v>226</v>
      </c>
      <c r="B101" s="34" t="s">
        <v>126</v>
      </c>
      <c r="C101" s="34" t="s">
        <v>290</v>
      </c>
      <c r="D101" s="34" t="s">
        <v>77</v>
      </c>
      <c r="E101" s="50" t="s">
        <v>293</v>
      </c>
    </row>
    <row r="102" spans="1:5" ht="12.75">
      <c r="A102" s="46" t="s">
        <v>208</v>
      </c>
      <c r="B102" s="34" t="s">
        <v>126</v>
      </c>
      <c r="C102" s="34" t="s">
        <v>151</v>
      </c>
      <c r="D102" s="34" t="s">
        <v>52</v>
      </c>
      <c r="E102" s="50" t="s">
        <v>294</v>
      </c>
    </row>
    <row r="103" spans="1:5" ht="12.75">
      <c r="A103" s="46" t="s">
        <v>229</v>
      </c>
      <c r="B103" s="34" t="s">
        <v>126</v>
      </c>
      <c r="C103" s="34" t="s">
        <v>290</v>
      </c>
      <c r="D103" s="34" t="s">
        <v>67</v>
      </c>
      <c r="E103" s="50" t="s">
        <v>295</v>
      </c>
    </row>
    <row r="104" spans="1:5" ht="12.75">
      <c r="A104" s="46" t="s">
        <v>232</v>
      </c>
      <c r="B104" s="34" t="s">
        <v>126</v>
      </c>
      <c r="C104" s="34" t="s">
        <v>290</v>
      </c>
      <c r="D104" s="34" t="s">
        <v>67</v>
      </c>
      <c r="E104" s="50" t="s">
        <v>296</v>
      </c>
    </row>
    <row r="105" spans="1:5" ht="12.75">
      <c r="A105" s="46" t="s">
        <v>236</v>
      </c>
      <c r="B105" s="34" t="s">
        <v>126</v>
      </c>
      <c r="C105" s="34" t="s">
        <v>290</v>
      </c>
      <c r="D105" s="34" t="s">
        <v>52</v>
      </c>
      <c r="E105" s="50" t="s">
        <v>297</v>
      </c>
    </row>
    <row r="106" spans="1:5" ht="12.75">
      <c r="A106" s="46" t="s">
        <v>256</v>
      </c>
      <c r="B106" s="34" t="s">
        <v>126</v>
      </c>
      <c r="C106" s="34" t="s">
        <v>156</v>
      </c>
      <c r="D106" s="34" t="s">
        <v>70</v>
      </c>
      <c r="E106" s="50" t="s">
        <v>298</v>
      </c>
    </row>
    <row r="107" spans="1:5" ht="12.75">
      <c r="A107" s="46" t="s">
        <v>194</v>
      </c>
      <c r="B107" s="34" t="s">
        <v>126</v>
      </c>
      <c r="C107" s="34" t="s">
        <v>278</v>
      </c>
      <c r="D107" s="34" t="s">
        <v>47</v>
      </c>
      <c r="E107" s="50" t="s">
        <v>299</v>
      </c>
    </row>
    <row r="108" spans="1:5" ht="12.75">
      <c r="A108" s="46" t="s">
        <v>259</v>
      </c>
      <c r="B108" s="34" t="s">
        <v>126</v>
      </c>
      <c r="C108" s="34" t="s">
        <v>156</v>
      </c>
      <c r="D108" s="34" t="s">
        <v>75</v>
      </c>
      <c r="E108" s="50" t="s">
        <v>300</v>
      </c>
    </row>
    <row r="109" spans="1:5" ht="12.75">
      <c r="A109" s="46" t="s">
        <v>213</v>
      </c>
      <c r="B109" s="34" t="s">
        <v>126</v>
      </c>
      <c r="C109" s="34" t="s">
        <v>151</v>
      </c>
      <c r="D109" s="34" t="s">
        <v>46</v>
      </c>
      <c r="E109" s="50" t="s">
        <v>301</v>
      </c>
    </row>
    <row r="110" spans="1:5" ht="12.75">
      <c r="A110" s="46" t="s">
        <v>198</v>
      </c>
      <c r="B110" s="34" t="s">
        <v>126</v>
      </c>
      <c r="C110" s="34" t="s">
        <v>148</v>
      </c>
      <c r="D110" s="34" t="s">
        <v>201</v>
      </c>
      <c r="E110" s="50" t="s">
        <v>302</v>
      </c>
    </row>
    <row r="112" spans="1:2" ht="14.25">
      <c r="A112" s="47" t="s">
        <v>138</v>
      </c>
      <c r="B112" s="48"/>
    </row>
    <row r="113" spans="1:5" ht="15">
      <c r="A113" s="49" t="s">
        <v>0</v>
      </c>
      <c r="B113" s="49" t="s">
        <v>127</v>
      </c>
      <c r="C113" s="49" t="s">
        <v>128</v>
      </c>
      <c r="D113" s="49" t="s">
        <v>7</v>
      </c>
      <c r="E113" s="49" t="s">
        <v>129</v>
      </c>
    </row>
    <row r="114" spans="1:5" ht="12.75">
      <c r="A114" s="46" t="s">
        <v>248</v>
      </c>
      <c r="B114" s="34" t="s">
        <v>303</v>
      </c>
      <c r="C114" s="34" t="s">
        <v>290</v>
      </c>
      <c r="D114" s="34" t="s">
        <v>212</v>
      </c>
      <c r="E114" s="50" t="s">
        <v>304</v>
      </c>
    </row>
    <row r="115" spans="1:5" ht="12.75">
      <c r="A115" s="46" t="s">
        <v>202</v>
      </c>
      <c r="B115" s="34" t="s">
        <v>305</v>
      </c>
      <c r="C115" s="34" t="s">
        <v>148</v>
      </c>
      <c r="D115" s="34" t="s">
        <v>206</v>
      </c>
      <c r="E115" s="50" t="s">
        <v>306</v>
      </c>
    </row>
    <row r="116" spans="1:5" ht="12.75">
      <c r="A116" s="46" t="s">
        <v>268</v>
      </c>
      <c r="B116" s="34" t="s">
        <v>307</v>
      </c>
      <c r="C116" s="34" t="s">
        <v>156</v>
      </c>
      <c r="D116" s="34" t="s">
        <v>271</v>
      </c>
      <c r="E116" s="50" t="s">
        <v>308</v>
      </c>
    </row>
    <row r="117" spans="1:5" ht="12.75">
      <c r="A117" s="46" t="s">
        <v>236</v>
      </c>
      <c r="B117" s="34" t="s">
        <v>160</v>
      </c>
      <c r="C117" s="34" t="s">
        <v>290</v>
      </c>
      <c r="D117" s="34" t="s">
        <v>52</v>
      </c>
      <c r="E117" s="50" t="s">
        <v>309</v>
      </c>
    </row>
    <row r="118" spans="1:5" ht="12.75">
      <c r="A118" s="46" t="s">
        <v>198</v>
      </c>
      <c r="B118" s="34" t="s">
        <v>310</v>
      </c>
      <c r="C118" s="34" t="s">
        <v>148</v>
      </c>
      <c r="D118" s="34" t="s">
        <v>201</v>
      </c>
      <c r="E118" s="50" t="s">
        <v>311</v>
      </c>
    </row>
    <row r="119" spans="1:5" ht="12.75">
      <c r="A119" s="46" t="s">
        <v>273</v>
      </c>
      <c r="B119" s="34" t="s">
        <v>160</v>
      </c>
      <c r="C119" s="34" t="s">
        <v>312</v>
      </c>
      <c r="D119" s="34" t="s">
        <v>212</v>
      </c>
      <c r="E119" s="50" t="s">
        <v>313</v>
      </c>
    </row>
    <row r="120" spans="1:5" ht="12.75">
      <c r="A120" s="46" t="s">
        <v>217</v>
      </c>
      <c r="B120" s="34" t="s">
        <v>160</v>
      </c>
      <c r="C120" s="34" t="s">
        <v>151</v>
      </c>
      <c r="D120" s="34" t="s">
        <v>115</v>
      </c>
      <c r="E120" s="50" t="s">
        <v>314</v>
      </c>
    </row>
    <row r="121" spans="1:5" ht="12.75">
      <c r="A121" s="46" t="s">
        <v>220</v>
      </c>
      <c r="B121" s="34" t="s">
        <v>139</v>
      </c>
      <c r="C121" s="34" t="s">
        <v>151</v>
      </c>
      <c r="D121" s="34" t="s">
        <v>26</v>
      </c>
      <c r="E121" s="50" t="s">
        <v>315</v>
      </c>
    </row>
    <row r="122" spans="1:5" ht="12.75">
      <c r="A122" s="46" t="s">
        <v>243</v>
      </c>
      <c r="B122" s="34" t="s">
        <v>160</v>
      </c>
      <c r="C122" s="34" t="s">
        <v>290</v>
      </c>
      <c r="D122" s="34" t="s">
        <v>83</v>
      </c>
      <c r="E122" s="50" t="s">
        <v>316</v>
      </c>
    </row>
  </sheetData>
  <sheetProtection/>
  <mergeCells count="25">
    <mergeCell ref="A1:M2"/>
    <mergeCell ref="A3:A4"/>
    <mergeCell ref="B3:B4"/>
    <mergeCell ref="C3:C4"/>
    <mergeCell ref="D3:D4"/>
    <mergeCell ref="E3:E4"/>
    <mergeCell ref="F3:F4"/>
    <mergeCell ref="G3:J3"/>
    <mergeCell ref="A31:L31"/>
    <mergeCell ref="K3:K4"/>
    <mergeCell ref="L3:L4"/>
    <mergeCell ref="M3:M4"/>
    <mergeCell ref="A5:L5"/>
    <mergeCell ref="A8:L8"/>
    <mergeCell ref="A11:L11"/>
    <mergeCell ref="A35:L35"/>
    <mergeCell ref="A40:L40"/>
    <mergeCell ref="A46:L46"/>
    <mergeCell ref="A57:L57"/>
    <mergeCell ref="A64:L64"/>
    <mergeCell ref="A14:L14"/>
    <mergeCell ref="A19:L19"/>
    <mergeCell ref="A22:L22"/>
    <mergeCell ref="A25:L25"/>
    <mergeCell ref="A28:L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Term_0</cp:lastModifiedBy>
  <cp:lastPrinted>2008-02-22T21:19:54Z</cp:lastPrinted>
  <dcterms:created xsi:type="dcterms:W3CDTF">2002-06-16T13:36:44Z</dcterms:created>
  <dcterms:modified xsi:type="dcterms:W3CDTF">2018-10-30T15:54:40Z</dcterms:modified>
  <cp:category/>
  <cp:version/>
  <cp:contentType/>
  <cp:contentStatus/>
</cp:coreProperties>
</file>