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PC m.ply BP" sheetId="1" state="visible" r:id="rId2"/>
    <sheet name="MR BP 1 bw. AWPC" sheetId="2" state="visible" r:id="rId3"/>
    <sheet name="MR BP 1 bw. WPC" sheetId="3" state="visible" r:id="rId4"/>
    <sheet name="WPC SC" sheetId="4" state="visible" r:id="rId5"/>
    <sheet name="AWPC SC" sheetId="5" state="visible" r:id="rId6"/>
    <sheet name="AWPC m.ply DL" sheetId="6" state="visible" r:id="rId7"/>
    <sheet name="AWPC s.ply DL" sheetId="7" state="visible" r:id="rId8"/>
    <sheet name="AWPC raw DL" sheetId="8" state="visible" r:id="rId9"/>
    <sheet name="WPC s.ply DL" sheetId="9" state="visible" r:id="rId10"/>
    <sheet name="WPC raw DL" sheetId="10" state="visible" r:id="rId11"/>
    <sheet name="AWPC MP soft eq. BP" sheetId="11" state="visible" r:id="rId12"/>
    <sheet name="AWPC OB" sheetId="12" state="visible" r:id="rId13"/>
    <sheet name="AWPC raw BP" sheetId="13" state="visible" r:id="rId14"/>
    <sheet name="AWPC m.ply PL" sheetId="14" state="visible" r:id="rId15"/>
    <sheet name="AWPC s.ply PL" sheetId="15" state="visible" r:id="rId16"/>
    <sheet name="AWPC Classic RAW PL" sheetId="16" state="visible" r:id="rId17"/>
    <sheet name="AWPC raw PL" sheetId="17" state="visible" r:id="rId18"/>
    <sheet name="WPC soft eq. BP" sheetId="18" state="visible" r:id="rId19"/>
    <sheet name="WPC raw BP" sheetId="19" state="visible" r:id="rId20"/>
    <sheet name="WPC s.ply PL" sheetId="20" state="visible" r:id="rId21"/>
    <sheet name="WPC Classic RAW PL" sheetId="21" state="visible" r:id="rId22"/>
    <sheet name="WPC raw PL" sheetId="22" state="visible" r:id="rId23"/>
    <sheet name="«Excalibur»" sheetId="23" state="visible" r:id="rId24"/>
    <sheet name="«Rus brick»" sheetId="24" state="visible" r:id="rId25"/>
    <sheet name="«Rus Axle»" sheetId="25" state="visible" r:id="rId26"/>
    <sheet name="«Russian Roullette»" sheetId="26" state="visible" r:id="rId27"/>
  </sheets>
  <definedNames>
    <definedName function="false" hidden="false" localSheetId="25" name="_FilterDatabase" vbProcedure="false">'«Russian Roullette»'!$A$1:$J$3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<sst xmlns="http://schemas.openxmlformats.org/spreadsheetml/2006/main" count="4368" uniqueCount="1371">
  <si>
    <t xml:space="preserve">PRO KREMLIN BENCHPRESS CUP WPC
WPC multi ply benchpress
Moscow / Russian Federation 29 - 30 May 2021</t>
  </si>
  <si>
    <t xml:space="preserve">Name</t>
  </si>
  <si>
    <t xml:space="preserve">Age Categoty
Bith date/Age</t>
  </si>
  <si>
    <t xml:space="preserve">Body
weight</t>
  </si>
  <si>
    <t xml:space="preserve">Gloss</t>
  </si>
  <si>
    <t xml:space="preserve">Team</t>
  </si>
  <si>
    <t xml:space="preserve">Town/Country</t>
  </si>
  <si>
    <t xml:space="preserve">Result</t>
  </si>
  <si>
    <t xml:space="preserve">Body Weight Category  90</t>
  </si>
  <si>
    <t xml:space="preserve">1. Semenikhin Ivan</t>
  </si>
  <si>
    <t xml:space="preserve">Open (30.03.1991)/30</t>
  </si>
  <si>
    <t xml:space="preserve">88,90</t>
  </si>
  <si>
    <t xml:space="preserve">lichno</t>
  </si>
  <si>
    <t xml:space="preserve">RUS/Saratov</t>
  </si>
  <si>
    <t xml:space="preserve">272,5</t>
  </si>
  <si>
    <t xml:space="preserve">280,0</t>
  </si>
  <si>
    <t xml:space="preserve">287,5</t>
  </si>
  <si>
    <t xml:space="preserve">="280,0"</t>
  </si>
  <si>
    <t xml:space="preserve">="172,4940"</t>
  </si>
  <si>
    <t xml:space="preserve">Body Weight Category  100</t>
  </si>
  <si>
    <t xml:space="preserve">1. Solntsev Ivan</t>
  </si>
  <si>
    <t xml:space="preserve">Open (25.03.1974)/47</t>
  </si>
  <si>
    <t xml:space="preserve">97,20</t>
  </si>
  <si>
    <t xml:space="preserve">RUS/Vyborg</t>
  </si>
  <si>
    <t xml:space="preserve">245,0</t>
  </si>
  <si>
    <t xml:space="preserve">255,0</t>
  </si>
  <si>
    <t xml:space="preserve">-. Melnikov Aleksey</t>
  </si>
  <si>
    <t xml:space="preserve">Open (22.10.1987)/33</t>
  </si>
  <si>
    <t xml:space="preserve">98,70</t>
  </si>
  <si>
    <t xml:space="preserve">RUS/Moskva</t>
  </si>
  <si>
    <t xml:space="preserve">270,0</t>
  </si>
  <si>
    <t xml:space="preserve">285,0</t>
  </si>
  <si>
    <t xml:space="preserve">Body Weight Category  110</t>
  </si>
  <si>
    <t xml:space="preserve">-. Poryadin Ivan</t>
  </si>
  <si>
    <t xml:space="preserve">Open (06.06.1982)/38</t>
  </si>
  <si>
    <t xml:space="preserve">106,40</t>
  </si>
  <si>
    <t xml:space="preserve">RUS/Beloozerskiy</t>
  </si>
  <si>
    <t xml:space="preserve">290,0</t>
  </si>
  <si>
    <t xml:space="preserve">Body Weight Category  125</t>
  </si>
  <si>
    <t xml:space="preserve">1. Begalko Anton</t>
  </si>
  <si>
    <t xml:space="preserve">Open (06.11.1986)/34</t>
  </si>
  <si>
    <t xml:space="preserve">116,40</t>
  </si>
  <si>
    <t xml:space="preserve">300,0</t>
  </si>
  <si>
    <t xml:space="preserve">310,0</t>
  </si>
  <si>
    <t xml:space="preserve">2. Gorbachev Dmitriy</t>
  </si>
  <si>
    <t xml:space="preserve">Open (06.03.1970)/51</t>
  </si>
  <si>
    <t xml:space="preserve">114,30</t>
  </si>
  <si>
    <t xml:space="preserve">RUS/Ramenskoye</t>
  </si>
  <si>
    <t xml:space="preserve">295,0</t>
  </si>
  <si>
    <t xml:space="preserve">305,0</t>
  </si>
  <si>
    <t xml:space="preserve">-. Mamedov Emin</t>
  </si>
  <si>
    <t xml:space="preserve">Open (31.08.1974)/46</t>
  </si>
  <si>
    <t xml:space="preserve">114,00</t>
  </si>
  <si>
    <t xml:space="preserve">RUS/Tolyatti</t>
  </si>
  <si>
    <t xml:space="preserve">340,0</t>
  </si>
  <si>
    <t xml:space="preserve">350,0</t>
  </si>
  <si>
    <t xml:space="preserve">Meet director:</t>
  </si>
  <si>
    <t xml:space="preserve">Head secretary:</t>
  </si>
  <si>
    <t xml:space="preserve">Head Referee:</t>
  </si>
  <si>
    <t xml:space="preserve">Side Referyy Left:</t>
  </si>
  <si>
    <t xml:space="preserve">Side Referyy Right:</t>
  </si>
  <si>
    <t xml:space="preserve">Fligth secretary:</t>
  </si>
  <si>
    <t xml:space="preserve">List absolute winners</t>
  </si>
  <si>
    <t xml:space="preserve">Man</t>
  </si>
  <si>
    <t xml:space="preserve">Open</t>
  </si>
  <si>
    <t xml:space="preserve">Age class</t>
  </si>
  <si>
    <t xml:space="preserve">WC</t>
  </si>
  <si>
    <t xml:space="preserve">Best</t>
  </si>
  <si>
    <t xml:space="preserve">Semenikhin Ivan</t>
  </si>
  <si>
    <t xml:space="preserve">90</t>
  </si>
  <si>
    <t xml:space="preserve">172,4940</t>
  </si>
  <si>
    <t xml:space="preserve">Begalko Anton</t>
  </si>
  <si>
    <t xml:space="preserve">125</t>
  </si>
  <si>
    <t xml:space="preserve">171,9570</t>
  </si>
  <si>
    <t xml:space="preserve">Gorbachev Dmitriy</t>
  </si>
  <si>
    <t xml:space="preserve">169,8850</t>
  </si>
  <si>
    <t xml:space="preserve">Solntsev Ivan</t>
  </si>
  <si>
    <t xml:space="preserve">100</t>
  </si>
  <si>
    <t xml:space="preserve">144,1947</t>
  </si>
  <si>
    <t xml:space="preserve">OPEN EUROPE CUP WPC/AWPC/WAA-2021
Multy-repeat BP 1 bw. AWPC
Moscow / Russian Federation 29 - 30 May 2021</t>
  </si>
  <si>
    <t xml:space="preserve">Multi.rpt. benchpress</t>
  </si>
  <si>
    <t xml:space="preserve">Pts</t>
  </si>
  <si>
    <t xml:space="preserve">Tonnage</t>
  </si>
  <si>
    <t xml:space="preserve">Body Weight Category  75</t>
  </si>
  <si>
    <t xml:space="preserve">1. Balugin Nikolay</t>
  </si>
  <si>
    <t xml:space="preserve">Open (24.07.1987)/33</t>
  </si>
  <si>
    <t xml:space="preserve">74,20</t>
  </si>
  <si>
    <t xml:space="preserve">Izmaylovo 13</t>
  </si>
  <si>
    <t xml:space="preserve">75,0</t>
  </si>
  <si>
    <t xml:space="preserve">28,0</t>
  </si>
  <si>
    <t xml:space="preserve">="2100,0"</t>
  </si>
  <si>
    <t xml:space="preserve">="1457,4000"</t>
  </si>
  <si>
    <t xml:space="preserve">1. Kolistratov Dmirtiy</t>
  </si>
  <si>
    <t xml:space="preserve">Masters 40-49 (08.03.1977)/44</t>
  </si>
  <si>
    <t xml:space="preserve">74,90</t>
  </si>
  <si>
    <t xml:space="preserve">34,0</t>
  </si>
  <si>
    <t xml:space="preserve">="2550,0"</t>
  </si>
  <si>
    <t xml:space="preserve">="1833,0307"</t>
  </si>
  <si>
    <t xml:space="preserve">Body Weight Category  82.5</t>
  </si>
  <si>
    <t xml:space="preserve">1. Choriev Daniyar</t>
  </si>
  <si>
    <t xml:space="preserve">Open (18.12.1986)/34</t>
  </si>
  <si>
    <t xml:space="preserve">81,70</t>
  </si>
  <si>
    <t xml:space="preserve">82,5</t>
  </si>
  <si>
    <t xml:space="preserve">30,0</t>
  </si>
  <si>
    <t xml:space="preserve">1. Filyuk Vyacheslav</t>
  </si>
  <si>
    <t xml:space="preserve">Teen 13-19 (13.04.2002)/19</t>
  </si>
  <si>
    <t xml:space="preserve">85,00</t>
  </si>
  <si>
    <t xml:space="preserve">RUS/Balashikha</t>
  </si>
  <si>
    <t xml:space="preserve">85,0</t>
  </si>
  <si>
    <t xml:space="preserve">16,0</t>
  </si>
  <si>
    <t xml:space="preserve">1. Gorskiy Andrey</t>
  </si>
  <si>
    <t xml:space="preserve">Open (21.12.1983)/37</t>
  </si>
  <si>
    <t xml:space="preserve">83,20</t>
  </si>
  <si>
    <t xml:space="preserve">24,0</t>
  </si>
  <si>
    <t xml:space="preserve">Teen</t>
  </si>
  <si>
    <t xml:space="preserve">Filyuk Vyacheslav</t>
  </si>
  <si>
    <t xml:space="preserve">Teen 13-19</t>
  </si>
  <si>
    <t xml:space="preserve">1360,0</t>
  </si>
  <si>
    <t xml:space="preserve">860,3360</t>
  </si>
  <si>
    <t xml:space="preserve">Choriev Daniyar</t>
  </si>
  <si>
    <t xml:space="preserve">82.5</t>
  </si>
  <si>
    <t xml:space="preserve">2475,0</t>
  </si>
  <si>
    <t xml:space="preserve">1605,5325</t>
  </si>
  <si>
    <t xml:space="preserve">Balugin Nikolay</t>
  </si>
  <si>
    <t xml:space="preserve">75</t>
  </si>
  <si>
    <t xml:space="preserve">2100,0</t>
  </si>
  <si>
    <t xml:space="preserve">1457,4000</t>
  </si>
  <si>
    <t xml:space="preserve">Gorskiy Andrey</t>
  </si>
  <si>
    <t xml:space="preserve">2040,0</t>
  </si>
  <si>
    <t xml:space="preserve">1307,8440</t>
  </si>
  <si>
    <t xml:space="preserve">Masters</t>
  </si>
  <si>
    <t xml:space="preserve">Kolistratov Dmirtiy</t>
  </si>
  <si>
    <t xml:space="preserve">Masters 40-49</t>
  </si>
  <si>
    <t xml:space="preserve">2550,0</t>
  </si>
  <si>
    <t xml:space="preserve">1833,0307</t>
  </si>
  <si>
    <t xml:space="preserve">OPEN EUROPE CUP WPC/AWPC/WAA-2021
Multy-repeat BP 1 bw. WPC
Moscow / Russian Federation 29 - 30 May 2021</t>
  </si>
  <si>
    <t xml:space="preserve">Body Weight Category  52</t>
  </si>
  <si>
    <t xml:space="preserve">1. Mochalova Nadezhda</t>
  </si>
  <si>
    <t xml:space="preserve">Teen 13-19 (22.02.2007)/14</t>
  </si>
  <si>
    <t xml:space="preserve">48,40</t>
  </si>
  <si>
    <t xml:space="preserve">Vidnye</t>
  </si>
  <si>
    <t xml:space="preserve">50,0</t>
  </si>
  <si>
    <t xml:space="preserve">20,0</t>
  </si>
  <si>
    <t xml:space="preserve">="1000,0"</t>
  </si>
  <si>
    <t xml:space="preserve">="1171,5000"</t>
  </si>
  <si>
    <t xml:space="preserve">Body Weight Category  56</t>
  </si>
  <si>
    <t xml:space="preserve">1. Bachmaga Olga</t>
  </si>
  <si>
    <t xml:space="preserve">Open (23.09.1985)/35</t>
  </si>
  <si>
    <t xml:space="preserve">54,30</t>
  </si>
  <si>
    <t xml:space="preserve">55,0</t>
  </si>
  <si>
    <t xml:space="preserve">5,0</t>
  </si>
  <si>
    <t xml:space="preserve">1. Artemenko Elena</t>
  </si>
  <si>
    <t xml:space="preserve">Masters 40-49 (31.07.1979)/41</t>
  </si>
  <si>
    <t xml:space="preserve">70,00</t>
  </si>
  <si>
    <t xml:space="preserve">RUS/Sergiyev Posad</t>
  </si>
  <si>
    <t xml:space="preserve">70,0</t>
  </si>
  <si>
    <t xml:space="preserve">19,0</t>
  </si>
  <si>
    <t xml:space="preserve">1. Repin Sergey</t>
  </si>
  <si>
    <t xml:space="preserve">Open (11.07.1986)/34</t>
  </si>
  <si>
    <t xml:space="preserve">74,50</t>
  </si>
  <si>
    <t xml:space="preserve">RUS/Orekhovo-Zuyevo</t>
  </si>
  <si>
    <t xml:space="preserve">33,0</t>
  </si>
  <si>
    <t xml:space="preserve">1. Pavlov Yuriy</t>
  </si>
  <si>
    <t xml:space="preserve">Masters 40-49 (06.05.1972)/49</t>
  </si>
  <si>
    <t xml:space="preserve">87,20</t>
  </si>
  <si>
    <t xml:space="preserve">RUS/Egoryevsk</t>
  </si>
  <si>
    <t xml:space="preserve">87,5</t>
  </si>
  <si>
    <t xml:space="preserve">1. Gusev Dmitriy</t>
  </si>
  <si>
    <t xml:space="preserve">Open (04.09.1985)/35</t>
  </si>
  <si>
    <t xml:space="preserve">98,20</t>
  </si>
  <si>
    <t xml:space="preserve">100,0</t>
  </si>
  <si>
    <t xml:space="preserve">27,0</t>
  </si>
  <si>
    <t xml:space="preserve">1. Efremov Aleksandr</t>
  </si>
  <si>
    <t xml:space="preserve">Masters 50-59 (14.02.1971)/50</t>
  </si>
  <si>
    <t xml:space="preserve">96,60</t>
  </si>
  <si>
    <t xml:space="preserve">RUS/Smolensk</t>
  </si>
  <si>
    <t xml:space="preserve">97,5</t>
  </si>
  <si>
    <t xml:space="preserve">1. Trishin Valeriy</t>
  </si>
  <si>
    <t xml:space="preserve">Open (12.09.1981)/39</t>
  </si>
  <si>
    <t xml:space="preserve">103,10</t>
  </si>
  <si>
    <t xml:space="preserve">105,0</t>
  </si>
  <si>
    <t xml:space="preserve">35,0</t>
  </si>
  <si>
    <t xml:space="preserve">Women</t>
  </si>
  <si>
    <t xml:space="preserve">Mochalova Nadezhda</t>
  </si>
  <si>
    <t xml:space="preserve">52</t>
  </si>
  <si>
    <t xml:space="preserve">1000,0</t>
  </si>
  <si>
    <t xml:space="preserve">1171,5000</t>
  </si>
  <si>
    <t xml:space="preserve">Bachmaga Olga</t>
  </si>
  <si>
    <t xml:space="preserve">56</t>
  </si>
  <si>
    <t xml:space="preserve">275,0</t>
  </si>
  <si>
    <t xml:space="preserve">294,2775</t>
  </si>
  <si>
    <t xml:space="preserve">Artemenko Elena</t>
  </si>
  <si>
    <t xml:space="preserve">1330,0</t>
  </si>
  <si>
    <t xml:space="preserve">1177,3353</t>
  </si>
  <si>
    <t xml:space="preserve">Trishin Valeriy</t>
  </si>
  <si>
    <t xml:space="preserve">110</t>
  </si>
  <si>
    <t xml:space="preserve">3675,0</t>
  </si>
  <si>
    <t xml:space="preserve">2110,9200</t>
  </si>
  <si>
    <t xml:space="preserve">Repin Sergey</t>
  </si>
  <si>
    <t xml:space="preserve">1712,5763</t>
  </si>
  <si>
    <t xml:space="preserve">Gusev Dmitriy</t>
  </si>
  <si>
    <t xml:space="preserve">2700,0</t>
  </si>
  <si>
    <t xml:space="preserve">1581,7950</t>
  </si>
  <si>
    <t xml:space="preserve">Pavlov Yuriy</t>
  </si>
  <si>
    <t xml:space="preserve">2625,0</t>
  </si>
  <si>
    <t xml:space="preserve">1820,1725</t>
  </si>
  <si>
    <t xml:space="preserve">Efremov Aleksandr</t>
  </si>
  <si>
    <t xml:space="preserve">Masters 50-59</t>
  </si>
  <si>
    <t xml:space="preserve">2340,0</t>
  </si>
  <si>
    <t xml:space="preserve">1560,6069</t>
  </si>
  <si>
    <t xml:space="preserve">OPEN EUROPE CUP WPC/AWPC/WAA-2021
WPC Strict Curl
Moscow / Russian Federation 29 - 30 May 2021</t>
  </si>
  <si>
    <t xml:space="preserve">Body Weight Category  60</t>
  </si>
  <si>
    <t xml:space="preserve">1. Litkina Alla</t>
  </si>
  <si>
    <t xml:space="preserve">Open (25.07.1983)/37</t>
  </si>
  <si>
    <t xml:space="preserve">56,50</t>
  </si>
  <si>
    <t xml:space="preserve">RUS/Irkutsk</t>
  </si>
  <si>
    <t xml:space="preserve">25,0</t>
  </si>
  <si>
    <t xml:space="preserve">27,5</t>
  </si>
  <si>
    <t xml:space="preserve">="25,0"</t>
  </si>
  <si>
    <t xml:space="preserve">="25,9125"</t>
  </si>
  <si>
    <t xml:space="preserve">Body Weight Category  67.5</t>
  </si>
  <si>
    <t xml:space="preserve">1. Sergeeva Victoria</t>
  </si>
  <si>
    <t xml:space="preserve">Open (08.12.1982)/38</t>
  </si>
  <si>
    <t xml:space="preserve">63,50</t>
  </si>
  <si>
    <t xml:space="preserve">RUS/Nadym</t>
  </si>
  <si>
    <t xml:space="preserve">32,5</t>
  </si>
  <si>
    <t xml:space="preserve">1. Deev Aleksandr</t>
  </si>
  <si>
    <t xml:space="preserve">Open (22.07.1986)/34</t>
  </si>
  <si>
    <t xml:space="preserve">74,30</t>
  </si>
  <si>
    <t xml:space="preserve">RUS/Vidnoye</t>
  </si>
  <si>
    <t xml:space="preserve">60,0</t>
  </si>
  <si>
    <t xml:space="preserve">67,5</t>
  </si>
  <si>
    <t xml:space="preserve">1. Efremochkin Nikolay</t>
  </si>
  <si>
    <t xml:space="preserve">Open (08.09.1994)/26</t>
  </si>
  <si>
    <t xml:space="preserve">90,00</t>
  </si>
  <si>
    <t xml:space="preserve">RUS/Bryansk</t>
  </si>
  <si>
    <t xml:space="preserve">65,0</t>
  </si>
  <si>
    <t xml:space="preserve">1. Kushnir Vladimir</t>
  </si>
  <si>
    <t xml:space="preserve">Open (22.03.1977)/44</t>
  </si>
  <si>
    <t xml:space="preserve">108,40</t>
  </si>
  <si>
    <t xml:space="preserve">72,5</t>
  </si>
  <si>
    <t xml:space="preserve">77,5</t>
  </si>
  <si>
    <t xml:space="preserve">1. Knyazkov Mikhail</t>
  </si>
  <si>
    <t xml:space="preserve">Masters 40-44 (25.03.1978)/43</t>
  </si>
  <si>
    <t xml:space="preserve">105,30</t>
  </si>
  <si>
    <t xml:space="preserve">RUS/Nizhniy Novgorod</t>
  </si>
  <si>
    <t xml:space="preserve">Sergeeva Victoria</t>
  </si>
  <si>
    <t xml:space="preserve">67.5</t>
  </si>
  <si>
    <t xml:space="preserve">28,3170</t>
  </si>
  <si>
    <t xml:space="preserve">Litkina Alla</t>
  </si>
  <si>
    <t xml:space="preserve">60</t>
  </si>
  <si>
    <t xml:space="preserve">25,9125</t>
  </si>
  <si>
    <t xml:space="preserve">Deev Aleksandr</t>
  </si>
  <si>
    <t xml:space="preserve">41,6010</t>
  </si>
  <si>
    <t xml:space="preserve">Kushnir Vladimir</t>
  </si>
  <si>
    <t xml:space="preserve">40,9516</t>
  </si>
  <si>
    <t xml:space="preserve">Efremochkin Nikolay</t>
  </si>
  <si>
    <t xml:space="preserve">36,7110</t>
  </si>
  <si>
    <t xml:space="preserve">Knyazkov Mikhail</t>
  </si>
  <si>
    <t xml:space="preserve">Masters 40-44</t>
  </si>
  <si>
    <t xml:space="preserve">41,1441</t>
  </si>
  <si>
    <t xml:space="preserve">OPEN EUROPE CUP WPC/AWPC/WAA-2021
AWPC Strict Curl
Moscow / Russian Federation 29 - 30 May 2021</t>
  </si>
  <si>
    <t xml:space="preserve">1. Verenikina Mariya</t>
  </si>
  <si>
    <t xml:space="preserve">Open (14.10.1985)/35</t>
  </si>
  <si>
    <t xml:space="preserve">55,90</t>
  </si>
  <si>
    <t xml:space="preserve">="32,5"</t>
  </si>
  <si>
    <t xml:space="preserve">="33,9755"</t>
  </si>
  <si>
    <t xml:space="preserve">1. Limareva Elena</t>
  </si>
  <si>
    <t xml:space="preserve">Masters 55-59 (20.04.1966)/55</t>
  </si>
  <si>
    <t xml:space="preserve">69,40</t>
  </si>
  <si>
    <t xml:space="preserve">37,5</t>
  </si>
  <si>
    <t xml:space="preserve">40,0</t>
  </si>
  <si>
    <t xml:space="preserve">45,0</t>
  </si>
  <si>
    <t xml:space="preserve">1. Minin Dmitriy</t>
  </si>
  <si>
    <t xml:space="preserve">Open (13.05.1981)/40</t>
  </si>
  <si>
    <t xml:space="preserve">67,10</t>
  </si>
  <si>
    <t xml:space="preserve">52,5</t>
  </si>
  <si>
    <t xml:space="preserve">Masters 40-44 (13.05.1981)/40</t>
  </si>
  <si>
    <t xml:space="preserve">-. Ilchenko Vasiliy</t>
  </si>
  <si>
    <t xml:space="preserve">Masters 55-59 (13.05.1963)/58</t>
  </si>
  <si>
    <t xml:space="preserve">67,50</t>
  </si>
  <si>
    <t xml:space="preserve">1. Krilov Danila</t>
  </si>
  <si>
    <t xml:space="preserve">Teen 16-17 (27.06.2003)/17</t>
  </si>
  <si>
    <t xml:space="preserve">75,00</t>
  </si>
  <si>
    <t xml:space="preserve">57,5</t>
  </si>
  <si>
    <t xml:space="preserve">62,5</t>
  </si>
  <si>
    <t xml:space="preserve">1. Chesnyagin Anton</t>
  </si>
  <si>
    <t xml:space="preserve">Juniors 20-23 (21.11.1997)/23</t>
  </si>
  <si>
    <t xml:space="preserve">1. Fomin Roman</t>
  </si>
  <si>
    <t xml:space="preserve">Open (21.09.1978)/42</t>
  </si>
  <si>
    <t xml:space="preserve">81,80</t>
  </si>
  <si>
    <t xml:space="preserve">1. Aristov Dmitriy</t>
  </si>
  <si>
    <t xml:space="preserve">Masters 40-44 (21.01.1981)/40</t>
  </si>
  <si>
    <t xml:space="preserve">RUS/Moskovskiy</t>
  </si>
  <si>
    <t xml:space="preserve">1. Rabekhov Temur</t>
  </si>
  <si>
    <t xml:space="preserve">Open (06.04.1992)/29</t>
  </si>
  <si>
    <t xml:space="preserve">97,10</t>
  </si>
  <si>
    <t xml:space="preserve">1. Frank Vyacheslav</t>
  </si>
  <si>
    <t xml:space="preserve">Masters 55-59 (03.03.1962)/59</t>
  </si>
  <si>
    <t xml:space="preserve">105,60</t>
  </si>
  <si>
    <t xml:space="preserve">RUS/Pavlovo</t>
  </si>
  <si>
    <t xml:space="preserve">Verenikina Mariya</t>
  </si>
  <si>
    <t xml:space="preserve">33,9755</t>
  </si>
  <si>
    <t xml:space="preserve">Limareva Elena</t>
  </si>
  <si>
    <t xml:space="preserve">Masters 55-59</t>
  </si>
  <si>
    <t xml:space="preserve">48,6065</t>
  </si>
  <si>
    <t xml:space="preserve">Krilov Danila</t>
  </si>
  <si>
    <t xml:space="preserve">Teen 16-17</t>
  </si>
  <si>
    <t xml:space="preserve">43,0344</t>
  </si>
  <si>
    <t xml:space="preserve">Juniors</t>
  </si>
  <si>
    <t xml:space="preserve">Chesnyagin Anton</t>
  </si>
  <si>
    <t xml:space="preserve">Juniors 20-23</t>
  </si>
  <si>
    <t xml:space="preserve">48,1985</t>
  </si>
  <si>
    <t xml:space="preserve">Fomin Roman</t>
  </si>
  <si>
    <t xml:space="preserve">42,1330</t>
  </si>
  <si>
    <t xml:space="preserve">Rabekhov Temur</t>
  </si>
  <si>
    <t xml:space="preserve">39,7474</t>
  </si>
  <si>
    <t xml:space="preserve">Minin Dmitriy</t>
  </si>
  <si>
    <t xml:space="preserve">39,4905</t>
  </si>
  <si>
    <t xml:space="preserve">Frank Vyacheslav</t>
  </si>
  <si>
    <t xml:space="preserve">43,0651</t>
  </si>
  <si>
    <t xml:space="preserve">Aristov Dmitriy</t>
  </si>
  <si>
    <t xml:space="preserve">36,9630</t>
  </si>
  <si>
    <t xml:space="preserve">OPEN EUROPE CUP WPC/AWPC/WAA-2021
AWPC multy ply deadlift
Moscow / Russian Federation 29 - 30 May 2021</t>
  </si>
  <si>
    <t xml:space="preserve">1. Enina Elena</t>
  </si>
  <si>
    <t xml:space="preserve">Open (10.05.1989)/32</t>
  </si>
  <si>
    <t xml:space="preserve">51,60</t>
  </si>
  <si>
    <t xml:space="preserve">RUS/Kursk</t>
  </si>
  <si>
    <t xml:space="preserve">117,5</t>
  </si>
  <si>
    <t xml:space="preserve">125,0</t>
  </si>
  <si>
    <t xml:space="preserve">130,0</t>
  </si>
  <si>
    <t xml:space="preserve">135,0</t>
  </si>
  <si>
    <t xml:space="preserve">="130,0"</t>
  </si>
  <si>
    <t xml:space="preserve">="144,8720"</t>
  </si>
  <si>
    <t xml:space="preserve">Enina Elena</t>
  </si>
  <si>
    <t xml:space="preserve">144,8720</t>
  </si>
  <si>
    <t xml:space="preserve">OPEN EUROPE CUP WPC/AWPC/WAA-2021
AWPC single ply deadlift
Moscow / Russian Federation 29 - 30 May 2021</t>
  </si>
  <si>
    <t xml:space="preserve">1. Chepel Andrey</t>
  </si>
  <si>
    <t xml:space="preserve">Teen 16-17 (10.04.2005)/16</t>
  </si>
  <si>
    <t xml:space="preserve">59,50</t>
  </si>
  <si>
    <t xml:space="preserve">RUS/Korolev</t>
  </si>
  <si>
    <t xml:space="preserve">150,0</t>
  </si>
  <si>
    <t xml:space="preserve">162,5</t>
  </si>
  <si>
    <t xml:space="preserve">185,0</t>
  </si>
  <si>
    <t xml:space="preserve">="162,5"</t>
  </si>
  <si>
    <t xml:space="preserve">="136,4431"</t>
  </si>
  <si>
    <t xml:space="preserve">1. Lesnikh Sergey</t>
  </si>
  <si>
    <t xml:space="preserve">Open (30.01.1982)/39</t>
  </si>
  <si>
    <t xml:space="preserve">80,90</t>
  </si>
  <si>
    <t xml:space="preserve">160,0</t>
  </si>
  <si>
    <t xml:space="preserve">172,5</t>
  </si>
  <si>
    <t xml:space="preserve">195,0</t>
  </si>
  <si>
    <t xml:space="preserve">1. Tropin Igor</t>
  </si>
  <si>
    <t xml:space="preserve">Open (14.05.1995)/26</t>
  </si>
  <si>
    <t xml:space="preserve">180,0</t>
  </si>
  <si>
    <t xml:space="preserve">190,0</t>
  </si>
  <si>
    <t xml:space="preserve">202,5</t>
  </si>
  <si>
    <t xml:space="preserve">1. Vintovkin Ivan</t>
  </si>
  <si>
    <t xml:space="preserve">Open (30.05.1992)/29</t>
  </si>
  <si>
    <t xml:space="preserve">95,70</t>
  </si>
  <si>
    <t xml:space="preserve">230,0</t>
  </si>
  <si>
    <t xml:space="preserve">242,5</t>
  </si>
  <si>
    <t xml:space="preserve">Chepel Andrey</t>
  </si>
  <si>
    <t xml:space="preserve">136,4431</t>
  </si>
  <si>
    <t xml:space="preserve">Vintovkin Ivan</t>
  </si>
  <si>
    <t xml:space="preserve">136,3555</t>
  </si>
  <si>
    <t xml:space="preserve">Tropin Igor</t>
  </si>
  <si>
    <t xml:space="preserve">113,8680</t>
  </si>
  <si>
    <t xml:space="preserve">Lesnikh Sergey</t>
  </si>
  <si>
    <t xml:space="preserve">112,6252</t>
  </si>
  <si>
    <t xml:space="preserve">OPEN EUROPE CUP WPC/AWPC/WAA-2021
AWPC raw deadlift
Moscow / Russian Federation 29 - 30 May 2021</t>
  </si>
  <si>
    <t xml:space="preserve">Body Weight Category  48</t>
  </si>
  <si>
    <t xml:space="preserve">1. Kochetkova Elena</t>
  </si>
  <si>
    <t xml:space="preserve">Open (20.10.1991)/29</t>
  </si>
  <si>
    <t xml:space="preserve">46,80</t>
  </si>
  <si>
    <t xml:space="preserve">RUS/Teykovo</t>
  </si>
  <si>
    <t xml:space="preserve">112,5</t>
  </si>
  <si>
    <t xml:space="preserve">="117,5"</t>
  </si>
  <si>
    <t xml:space="preserve">="141,2233"</t>
  </si>
  <si>
    <t xml:space="preserve">1. Uganina Olga</t>
  </si>
  <si>
    <t xml:space="preserve">Open (28.04.1979)/42</t>
  </si>
  <si>
    <t xml:space="preserve">55,70</t>
  </si>
  <si>
    <t xml:space="preserve">RUS/Chekhov</t>
  </si>
  <si>
    <t xml:space="preserve">155,0</t>
  </si>
  <si>
    <t xml:space="preserve">157,5</t>
  </si>
  <si>
    <t xml:space="preserve">2. Verenikina Mariya</t>
  </si>
  <si>
    <t xml:space="preserve">140,0</t>
  </si>
  <si>
    <t xml:space="preserve">1. Golunova Olga</t>
  </si>
  <si>
    <t xml:space="preserve">Open (12.06.1984)/36</t>
  </si>
  <si>
    <t xml:space="preserve">59,90</t>
  </si>
  <si>
    <t xml:space="preserve">110,0</t>
  </si>
  <si>
    <t xml:space="preserve">127,5</t>
  </si>
  <si>
    <t xml:space="preserve">1. Shurova Svetlana</t>
  </si>
  <si>
    <t xml:space="preserve">Masters 40-44 (17.12.1977)/43</t>
  </si>
  <si>
    <t xml:space="preserve">65,10</t>
  </si>
  <si>
    <t xml:space="preserve">1. Andeev Aleksandr</t>
  </si>
  <si>
    <t xml:space="preserve">Teen 16-17 (24.12.2003)/17</t>
  </si>
  <si>
    <t xml:space="preserve">55,20</t>
  </si>
  <si>
    <t xml:space="preserve">142,5</t>
  </si>
  <si>
    <t xml:space="preserve">1. Fomin Aleksandr</t>
  </si>
  <si>
    <t xml:space="preserve">Open (19.10.1987)/33</t>
  </si>
  <si>
    <t xml:space="preserve">RUS/Novoaltaysk</t>
  </si>
  <si>
    <t xml:space="preserve">170,0</t>
  </si>
  <si>
    <t xml:space="preserve">181,0</t>
  </si>
  <si>
    <t xml:space="preserve">187,5</t>
  </si>
  <si>
    <t xml:space="preserve">1. Lazukov Dmitriy</t>
  </si>
  <si>
    <t xml:space="preserve">Open (22.10.1983)/37</t>
  </si>
  <si>
    <t xml:space="preserve">66,80</t>
  </si>
  <si>
    <t xml:space="preserve">145,0</t>
  </si>
  <si>
    <t xml:space="preserve">165,0</t>
  </si>
  <si>
    <t xml:space="preserve">1. Karapetyan Sos</t>
  </si>
  <si>
    <t xml:space="preserve">Juniors 20-23 (04.09.1999)/21</t>
  </si>
  <si>
    <t xml:space="preserve">72,50</t>
  </si>
  <si>
    <t xml:space="preserve">177,5</t>
  </si>
  <si>
    <t xml:space="preserve">1. Brizitskiy Ivan</t>
  </si>
  <si>
    <t xml:space="preserve">Open (14.05.1997)/24</t>
  </si>
  <si>
    <t xml:space="preserve">74,60</t>
  </si>
  <si>
    <t xml:space="preserve">232,5</t>
  </si>
  <si>
    <t xml:space="preserve">1. Kochetkov Aleksandr</t>
  </si>
  <si>
    <t xml:space="preserve">Open (19.09.1988)/32</t>
  </si>
  <si>
    <t xml:space="preserve">81,50</t>
  </si>
  <si>
    <t xml:space="preserve">2. Fomin Roman</t>
  </si>
  <si>
    <t xml:space="preserve">205,0</t>
  </si>
  <si>
    <t xml:space="preserve">207,5</t>
  </si>
  <si>
    <t xml:space="preserve">3. Davtyan David</t>
  </si>
  <si>
    <t xml:space="preserve">Open (12.09.1986)/34</t>
  </si>
  <si>
    <t xml:space="preserve">Smirnov Power</t>
  </si>
  <si>
    <t xml:space="preserve">1. Aliev Ramazan-Ismail</t>
  </si>
  <si>
    <t xml:space="preserve">Juniors 20-23 (21.12.1999)/21</t>
  </si>
  <si>
    <t xml:space="preserve">88,00</t>
  </si>
  <si>
    <t xml:space="preserve">200,0</t>
  </si>
  <si>
    <t xml:space="preserve">-. Lomanov Kirill</t>
  </si>
  <si>
    <t xml:space="preserve">Open (15.07.1987)/33</t>
  </si>
  <si>
    <t xml:space="preserve">89,90</t>
  </si>
  <si>
    <t xml:space="preserve">315,0</t>
  </si>
  <si>
    <t xml:space="preserve">330,5</t>
  </si>
  <si>
    <t xml:space="preserve">1. Berkun Oleg</t>
  </si>
  <si>
    <t xml:space="preserve">Juniors 20-23 (10.09.1998)/22</t>
  </si>
  <si>
    <t xml:space="preserve">97,80</t>
  </si>
  <si>
    <t xml:space="preserve">1. Lukyanov Sergey</t>
  </si>
  <si>
    <t xml:space="preserve">Masters 65-69 (25.10.1955)/65</t>
  </si>
  <si>
    <t xml:space="preserve">120,00</t>
  </si>
  <si>
    <t xml:space="preserve">Uganina Olga</t>
  </si>
  <si>
    <t xml:space="preserve">165,1230</t>
  </si>
  <si>
    <t xml:space="preserve">146,3560</t>
  </si>
  <si>
    <t xml:space="preserve">Kochetkova Elena</t>
  </si>
  <si>
    <t xml:space="preserve">48</t>
  </si>
  <si>
    <t xml:space="preserve">141,2233</t>
  </si>
  <si>
    <t xml:space="preserve">Golunova Olga</t>
  </si>
  <si>
    <t xml:space="preserve">108,7790</t>
  </si>
  <si>
    <t xml:space="preserve">Shurova Svetlana</t>
  </si>
  <si>
    <t xml:space="preserve">112,1174</t>
  </si>
  <si>
    <t xml:space="preserve">Andeev Aleksandr</t>
  </si>
  <si>
    <t xml:space="preserve">147,2331</t>
  </si>
  <si>
    <t xml:space="preserve">Karapetyan Sos</t>
  </si>
  <si>
    <t xml:space="preserve">143,0460</t>
  </si>
  <si>
    <t xml:space="preserve">Aliev Ramazan-Ismail</t>
  </si>
  <si>
    <t xml:space="preserve">123,9400</t>
  </si>
  <si>
    <t xml:space="preserve">Berkun Oleg</t>
  </si>
  <si>
    <t xml:space="preserve">121,7921</t>
  </si>
  <si>
    <t xml:space="preserve">Kochetkov Aleksandr</t>
  </si>
  <si>
    <t xml:space="preserve">165,6862</t>
  </si>
  <si>
    <t xml:space="preserve">Fomin Aleksandr</t>
  </si>
  <si>
    <t xml:space="preserve">160,9560</t>
  </si>
  <si>
    <t xml:space="preserve">Brizitskiy Ivan</t>
  </si>
  <si>
    <t xml:space="preserve">139,9781</t>
  </si>
  <si>
    <t xml:space="preserve">134,5015</t>
  </si>
  <si>
    <t xml:space="preserve">Lazukov Dmitriy</t>
  </si>
  <si>
    <t xml:space="preserve">128,3670</t>
  </si>
  <si>
    <t xml:space="preserve">Davtyan David</t>
  </si>
  <si>
    <t xml:space="preserve">120,7865</t>
  </si>
  <si>
    <t xml:space="preserve">Lukyanov Sergey</t>
  </si>
  <si>
    <t xml:space="preserve">Masters 65-69</t>
  </si>
  <si>
    <t xml:space="preserve">163,0812</t>
  </si>
  <si>
    <t xml:space="preserve">OPEN EUROPE CUP WPC/AWPC/WAA-2021
WPC single ply deadlift
Moscow / Russian Federation 29 - 30 May 2021</t>
  </si>
  <si>
    <t xml:space="preserve">1. Kondratev Aleksandr</t>
  </si>
  <si>
    <t xml:space="preserve">Masters 40-44 (03.09.1977)/43</t>
  </si>
  <si>
    <t xml:space="preserve">88,80</t>
  </si>
  <si>
    <t xml:space="preserve">="200,0"</t>
  </si>
  <si>
    <t xml:space="preserve">="127,1120"</t>
  </si>
  <si>
    <t xml:space="preserve">Kondratev Aleksandr</t>
  </si>
  <si>
    <t xml:space="preserve">127,1120</t>
  </si>
  <si>
    <t xml:space="preserve">OPEN EUROPE CUP WPC/AWPC/WAA-2021
WPC raw deadlift
Moscow / Russian Federation 29 - 30 May 2021</t>
  </si>
  <si>
    <t xml:space="preserve">1. Zharkov Mikhail</t>
  </si>
  <si>
    <t xml:space="preserve">Teen 13-15 (23.12.2005)/15</t>
  </si>
  <si>
    <t xml:space="preserve">50,80</t>
  </si>
  <si>
    <t xml:space="preserve">80,0</t>
  </si>
  <si>
    <t xml:space="preserve">90,0</t>
  </si>
  <si>
    <t xml:space="preserve">="90,0"</t>
  </si>
  <si>
    <t xml:space="preserve">="89,2710"</t>
  </si>
  <si>
    <t xml:space="preserve">1. Pashkov Maksim</t>
  </si>
  <si>
    <t xml:space="preserve">Teen 13-15 (01.02.2010)/11</t>
  </si>
  <si>
    <t xml:space="preserve">56,00</t>
  </si>
  <si>
    <t xml:space="preserve">1. Isaev Vladimir</t>
  </si>
  <si>
    <t xml:space="preserve">Teen 18-19 (16.10.2001)/19</t>
  </si>
  <si>
    <t xml:space="preserve">54,40</t>
  </si>
  <si>
    <t xml:space="preserve">1. Simonov Maksim</t>
  </si>
  <si>
    <t xml:space="preserve">Open (27.04.1985)/36</t>
  </si>
  <si>
    <t xml:space="preserve">80,70</t>
  </si>
  <si>
    <t xml:space="preserve">222,5</t>
  </si>
  <si>
    <t xml:space="preserve">Masters 45-49 (06.05.1972)/49</t>
  </si>
  <si>
    <t xml:space="preserve">220,0</t>
  </si>
  <si>
    <t xml:space="preserve">235,0</t>
  </si>
  <si>
    <t xml:space="preserve">250,0</t>
  </si>
  <si>
    <t xml:space="preserve">1. Sagitov Marat</t>
  </si>
  <si>
    <t xml:space="preserve">Masters 50-54 (05.03.1971)/50</t>
  </si>
  <si>
    <t xml:space="preserve">85,30</t>
  </si>
  <si>
    <t xml:space="preserve">1. Pavlov Sergey</t>
  </si>
  <si>
    <t xml:space="preserve">Open (30.05.1985)/36</t>
  </si>
  <si>
    <t xml:space="preserve">99,20</t>
  </si>
  <si>
    <t xml:space="preserve">1. Savchin Bogdan</t>
  </si>
  <si>
    <t xml:space="preserve">Open (30.05.1987)/34</t>
  </si>
  <si>
    <t xml:space="preserve">104,40</t>
  </si>
  <si>
    <t xml:space="preserve">RUS/Ryazan</t>
  </si>
  <si>
    <t xml:space="preserve">240,0</t>
  </si>
  <si>
    <t xml:space="preserve">262,5</t>
  </si>
  <si>
    <t xml:space="preserve">2. Pashkov Aleksey</t>
  </si>
  <si>
    <t xml:space="preserve">Open (06.10.1984)/36</t>
  </si>
  <si>
    <t xml:space="preserve">100,30</t>
  </si>
  <si>
    <t xml:space="preserve">1. Ivanov Aleksandr</t>
  </si>
  <si>
    <t xml:space="preserve">Masters 50-54 (27.03.1968)/53</t>
  </si>
  <si>
    <t xml:space="preserve">116,90</t>
  </si>
  <si>
    <t xml:space="preserve">RUS/Yakutsk</t>
  </si>
  <si>
    <t xml:space="preserve">252,5</t>
  </si>
  <si>
    <t xml:space="preserve">265,0</t>
  </si>
  <si>
    <t xml:space="preserve">Body Weight Category  140</t>
  </si>
  <si>
    <t xml:space="preserve">1. Ikaev Sarmat</t>
  </si>
  <si>
    <t xml:space="preserve">Open (09.11.1996)/24</t>
  </si>
  <si>
    <t xml:space="preserve">126,00</t>
  </si>
  <si>
    <t xml:space="preserve">Isaev Vladimir</t>
  </si>
  <si>
    <t xml:space="preserve">Teen 18-19</t>
  </si>
  <si>
    <t xml:space="preserve">149,5325</t>
  </si>
  <si>
    <t xml:space="preserve">Zharkov Mikhail</t>
  </si>
  <si>
    <t xml:space="preserve">Teen 13-15</t>
  </si>
  <si>
    <t xml:space="preserve">89,2710</t>
  </si>
  <si>
    <t xml:space="preserve">Pashkov Maksim</t>
  </si>
  <si>
    <t xml:space="preserve">78,0981</t>
  </si>
  <si>
    <t xml:space="preserve">Pavlov Sergey</t>
  </si>
  <si>
    <t xml:space="preserve">183,7395</t>
  </si>
  <si>
    <t xml:space="preserve">Ikaev Sarmat</t>
  </si>
  <si>
    <t xml:space="preserve">140</t>
  </si>
  <si>
    <t xml:space="preserve">157,8673</t>
  </si>
  <si>
    <t xml:space="preserve">Savchin Bogdan</t>
  </si>
  <si>
    <t xml:space="preserve">150,0975</t>
  </si>
  <si>
    <t xml:space="preserve">Simonov Maksim</t>
  </si>
  <si>
    <t xml:space="preserve">130,8000</t>
  </si>
  <si>
    <t xml:space="preserve">Pashkov Aleksey</t>
  </si>
  <si>
    <t xml:space="preserve">107,4110</t>
  </si>
  <si>
    <t xml:space="preserve">Ivanov Aleksandr</t>
  </si>
  <si>
    <t xml:space="preserve">Masters 50-54</t>
  </si>
  <si>
    <t xml:space="preserve">173,8701</t>
  </si>
  <si>
    <t xml:space="preserve">Masters 45-49</t>
  </si>
  <si>
    <t xml:space="preserve">173,3498</t>
  </si>
  <si>
    <t xml:space="preserve">Sagitov Marat</t>
  </si>
  <si>
    <t xml:space="preserve">142,6625</t>
  </si>
  <si>
    <t xml:space="preserve">OPEN EUROPE CUP WPC/AWPC/WAA-2021
AWPC st. soft eq. benchpress
Moscow / Russian Federation 29 - 30 May 2021</t>
  </si>
  <si>
    <t xml:space="preserve">1. Chub Igor</t>
  </si>
  <si>
    <t xml:space="preserve">Open (19.06.1996)/24</t>
  </si>
  <si>
    <t xml:space="preserve">89,00</t>
  </si>
  <si>
    <t xml:space="preserve">215,0</t>
  </si>
  <si>
    <t xml:space="preserve">="215,0"</t>
  </si>
  <si>
    <t xml:space="preserve">="132,3755"</t>
  </si>
  <si>
    <t xml:space="preserve">1. Li Vladimir</t>
  </si>
  <si>
    <t xml:space="preserve">Masters 65-69 (16.10.1951)/69</t>
  </si>
  <si>
    <t xml:space="preserve">89,40</t>
  </si>
  <si>
    <t xml:space="preserve">="170,0"</t>
  </si>
  <si>
    <t xml:space="preserve">="168,0929"</t>
  </si>
  <si>
    <t xml:space="preserve">1. Verzilov Sergey</t>
  </si>
  <si>
    <t xml:space="preserve">Open (15.10.1986)/34</t>
  </si>
  <si>
    <t xml:space="preserve">103,90</t>
  </si>
  <si>
    <t xml:space="preserve">2. Fritsler Andrey</t>
  </si>
  <si>
    <t xml:space="preserve">Open (11.04.1984)/37</t>
  </si>
  <si>
    <t xml:space="preserve">105,80</t>
  </si>
  <si>
    <t xml:space="preserve">RUS/Kaliningrad</t>
  </si>
  <si>
    <t xml:space="preserve">1. Yarkov Vasiliy</t>
  </si>
  <si>
    <t xml:space="preserve">Masters 50-54 (20.06.1970)/50</t>
  </si>
  <si>
    <t xml:space="preserve">108,00</t>
  </si>
  <si>
    <t xml:space="preserve">212,5</t>
  </si>
  <si>
    <t xml:space="preserve">Verzilov Sergey</t>
  </si>
  <si>
    <t xml:space="preserve">177,5525</t>
  </si>
  <si>
    <t xml:space="preserve">Chub Igor</t>
  </si>
  <si>
    <t xml:space="preserve">132,3755</t>
  </si>
  <si>
    <t xml:space="preserve">Fritsler Andrey</t>
  </si>
  <si>
    <t xml:space="preserve">126,6470</t>
  </si>
  <si>
    <t xml:space="preserve">Li Vladimir</t>
  </si>
  <si>
    <t xml:space="preserve">168,0929</t>
  </si>
  <si>
    <t xml:space="preserve">Yarkov Vasiliy</t>
  </si>
  <si>
    <t xml:space="preserve">121,4129</t>
  </si>
  <si>
    <t xml:space="preserve">OPEN EUROPE CUP WPC/AWPC/WAA-2021
AWPC OVERHEAD BENCH
Moscow / Russian Federation 29 - 30 May 2021</t>
  </si>
  <si>
    <t xml:space="preserve">1. Satsevich Vladimir</t>
  </si>
  <si>
    <t xml:space="preserve">Open (06.05.1988)/33</t>
  </si>
  <si>
    <t xml:space="preserve">88,20</t>
  </si>
  <si>
    <t xml:space="preserve">92,5</t>
  </si>
  <si>
    <t xml:space="preserve">="92,5"</t>
  </si>
  <si>
    <t xml:space="preserve">="57,2436"</t>
  </si>
  <si>
    <t xml:space="preserve">1. Levshin Vladimir</t>
  </si>
  <si>
    <t xml:space="preserve">Open (07.10.1985)/35</t>
  </si>
  <si>
    <t xml:space="preserve">129,00</t>
  </si>
  <si>
    <t xml:space="preserve">RUS/Novomoskovsk</t>
  </si>
  <si>
    <t xml:space="preserve">Satsevich Vladimir</t>
  </si>
  <si>
    <t xml:space="preserve">57,2436</t>
  </si>
  <si>
    <t xml:space="preserve">Levshin Vladimir</t>
  </si>
  <si>
    <t xml:space="preserve">54,1320</t>
  </si>
  <si>
    <t xml:space="preserve">OPEN EUROPE CUP WPC/AWPC/WAA-2021
AWPC raw benchpress
Moscow / Russian Federation 29 - 30 May 2021</t>
  </si>
  <si>
    <t xml:space="preserve">="57,5"</t>
  </si>
  <si>
    <t xml:space="preserve">="69,1093"</t>
  </si>
  <si>
    <t xml:space="preserve">2. Bazhina Ekaterina</t>
  </si>
  <si>
    <t xml:space="preserve">Open (04.04.1983)/38</t>
  </si>
  <si>
    <t xml:space="preserve">47,30</t>
  </si>
  <si>
    <t xml:space="preserve">="68,5515"</t>
  </si>
  <si>
    <t xml:space="preserve">1. Andreeva Svetlana</t>
  </si>
  <si>
    <t xml:space="preserve">Open (17.10.1983)/37</t>
  </si>
  <si>
    <t xml:space="preserve">49,60</t>
  </si>
  <si>
    <t xml:space="preserve">1. Antonova Ekaterina</t>
  </si>
  <si>
    <t xml:space="preserve">Juniors 20-23 (06.12.2000)/20</t>
  </si>
  <si>
    <t xml:space="preserve">53,00</t>
  </si>
  <si>
    <t xml:space="preserve">-. Drabkina Olga</t>
  </si>
  <si>
    <t xml:space="preserve">Masters 45-49 (13.11.1972)/48</t>
  </si>
  <si>
    <t xml:space="preserve">55,10</t>
  </si>
  <si>
    <t xml:space="preserve">1. Protzyuk Anna</t>
  </si>
  <si>
    <t xml:space="preserve">Teen 18-19 (23.02.2002)/19</t>
  </si>
  <si>
    <t xml:space="preserve">56,80</t>
  </si>
  <si>
    <t xml:space="preserve">RUS/Klin</t>
  </si>
  <si>
    <t xml:space="preserve">1. Kontar Inessa</t>
  </si>
  <si>
    <t xml:space="preserve">Open (25.01.1980)/41</t>
  </si>
  <si>
    <t xml:space="preserve">58,00</t>
  </si>
  <si>
    <t xml:space="preserve">1. Kovalenko Evgeniya</t>
  </si>
  <si>
    <t xml:space="preserve">Open (21.03.1982)/39</t>
  </si>
  <si>
    <t xml:space="preserve">62,90</t>
  </si>
  <si>
    <t xml:space="preserve">102,5</t>
  </si>
  <si>
    <t xml:space="preserve">107,5</t>
  </si>
  <si>
    <t xml:space="preserve">2. Sotnikova Svetlana</t>
  </si>
  <si>
    <t xml:space="preserve">Open (30.01.1983)/38</t>
  </si>
  <si>
    <t xml:space="preserve">66,10</t>
  </si>
  <si>
    <t xml:space="preserve">3. Batalova Tatyana</t>
  </si>
  <si>
    <t xml:space="preserve">Open (20.05.1997)/24</t>
  </si>
  <si>
    <t xml:space="preserve">64,00</t>
  </si>
  <si>
    <t xml:space="preserve">4. Loskutova Galina</t>
  </si>
  <si>
    <t xml:space="preserve">Open (17.05.1987)/34</t>
  </si>
  <si>
    <t xml:space="preserve">61,80</t>
  </si>
  <si>
    <t xml:space="preserve">-. Shurova Svetlana</t>
  </si>
  <si>
    <t xml:space="preserve">1. Bogomolova Mariya</t>
  </si>
  <si>
    <t xml:space="preserve">Masters 45-49 (17.04.1972)/49</t>
  </si>
  <si>
    <t xml:space="preserve">66,00</t>
  </si>
  <si>
    <t xml:space="preserve">1. Prutskova Ekaterina</t>
  </si>
  <si>
    <t xml:space="preserve">Open (30.09.1981)/39</t>
  </si>
  <si>
    <t xml:space="preserve">70,90</t>
  </si>
  <si>
    <t xml:space="preserve">95,0</t>
  </si>
  <si>
    <t xml:space="preserve">1. Fokin Nikolay</t>
  </si>
  <si>
    <t xml:space="preserve">Juniors 20-23 (26.06.1998)/22</t>
  </si>
  <si>
    <t xml:space="preserve">59,20</t>
  </si>
  <si>
    <t xml:space="preserve">1. Perevalov Sergey</t>
  </si>
  <si>
    <t xml:space="preserve">Open (12.03.1981)/40</t>
  </si>
  <si>
    <t xml:space="preserve">RUS/Balabanovo</t>
  </si>
  <si>
    <t xml:space="preserve">2. Morozov Aleksey</t>
  </si>
  <si>
    <t xml:space="preserve">Open (15.01.1982)/39</t>
  </si>
  <si>
    <t xml:space="preserve">122,5</t>
  </si>
  <si>
    <t xml:space="preserve">3. Kolesnikov Vasiliy</t>
  </si>
  <si>
    <t xml:space="preserve">Open (17.02.1994)/27</t>
  </si>
  <si>
    <t xml:space="preserve">65,40</t>
  </si>
  <si>
    <t xml:space="preserve">115,0</t>
  </si>
  <si>
    <t xml:space="preserve">120,0</t>
  </si>
  <si>
    <t xml:space="preserve">1. Susloparov Aleksey</t>
  </si>
  <si>
    <t xml:space="preserve">Open (20.04.1982)/39</t>
  </si>
  <si>
    <t xml:space="preserve">74,80</t>
  </si>
  <si>
    <t xml:space="preserve">RUS/Krasnoyarsk</t>
  </si>
  <si>
    <t xml:space="preserve">2. Nekrasov Sergey</t>
  </si>
  <si>
    <t xml:space="preserve">Open (30.12.1965)/55</t>
  </si>
  <si>
    <t xml:space="preserve">73,00</t>
  </si>
  <si>
    <t xml:space="preserve">3. Avdyunin Aleksey</t>
  </si>
  <si>
    <t xml:space="preserve">Open (23.04.1987)/34</t>
  </si>
  <si>
    <t xml:space="preserve">74,00</t>
  </si>
  <si>
    <t xml:space="preserve">137,5</t>
  </si>
  <si>
    <t xml:space="preserve">4. Tsarev Aleksandr</t>
  </si>
  <si>
    <t xml:space="preserve">Open (01.03.1991)/30</t>
  </si>
  <si>
    <t xml:space="preserve">73,70</t>
  </si>
  <si>
    <t xml:space="preserve">-. Beltsev Ivan</t>
  </si>
  <si>
    <t xml:space="preserve">Open (24.08.1988)/32</t>
  </si>
  <si>
    <t xml:space="preserve">73,10</t>
  </si>
  <si>
    <t xml:space="preserve">1. Nekrasov Sergey</t>
  </si>
  <si>
    <t xml:space="preserve">Masters 55-59 (30.12.1965)/55</t>
  </si>
  <si>
    <t xml:space="preserve">1. Gusev Egor</t>
  </si>
  <si>
    <t xml:space="preserve">Teen 13-15 (17.06.2005)/15</t>
  </si>
  <si>
    <t xml:space="preserve">81,30</t>
  </si>
  <si>
    <t xml:space="preserve">1. Tryakin Daniil</t>
  </si>
  <si>
    <t xml:space="preserve">Juniors 20-23 (03.04.1998)/23</t>
  </si>
  <si>
    <t xml:space="preserve">Filatov Dmitriy</t>
  </si>
  <si>
    <t xml:space="preserve">1. Plaksin Evgeniy</t>
  </si>
  <si>
    <t xml:space="preserve">Open (26.12.1987)/33</t>
  </si>
  <si>
    <t xml:space="preserve">82,20</t>
  </si>
  <si>
    <t xml:space="preserve">167,5</t>
  </si>
  <si>
    <t xml:space="preserve">2. Tserunyan Artem</t>
  </si>
  <si>
    <t xml:space="preserve">Open (23.01.1984)/37</t>
  </si>
  <si>
    <t xml:space="preserve">81,00</t>
  </si>
  <si>
    <t xml:space="preserve">Fan Gym Power</t>
  </si>
  <si>
    <t xml:space="preserve">RUS/Khimki</t>
  </si>
  <si>
    <t xml:space="preserve">3. Saliev Kudrat</t>
  </si>
  <si>
    <t xml:space="preserve">Open (20.01.1996)/25</t>
  </si>
  <si>
    <t xml:space="preserve">4. Choriev Daniyar</t>
  </si>
  <si>
    <t xml:space="preserve">5. Spirin Gennadiy</t>
  </si>
  <si>
    <t xml:space="preserve">Open (26.10.1987)/33</t>
  </si>
  <si>
    <t xml:space="preserve">81,20</t>
  </si>
  <si>
    <t xml:space="preserve">RUS/Zelenograd</t>
  </si>
  <si>
    <t xml:space="preserve">6. Goloviychuk Aleksey</t>
  </si>
  <si>
    <t xml:space="preserve">Open (10.04.1993)/28</t>
  </si>
  <si>
    <t xml:space="preserve">79,00</t>
  </si>
  <si>
    <t xml:space="preserve">7. Shishkov Ivan</t>
  </si>
  <si>
    <t xml:space="preserve">Open (06.04.1996)/25</t>
  </si>
  <si>
    <t xml:space="preserve">79,50</t>
  </si>
  <si>
    <t xml:space="preserve">-. Babaev Kirill</t>
  </si>
  <si>
    <t xml:space="preserve">Masters 40-44 (30.05.1978)/43</t>
  </si>
  <si>
    <t xml:space="preserve">-. Brigadze Dmirtiy</t>
  </si>
  <si>
    <t xml:space="preserve">Masters 45-49 (27.12.1975)/45</t>
  </si>
  <si>
    <t xml:space="preserve">RUS/Solnechnogorsk</t>
  </si>
  <si>
    <t xml:space="preserve">1. Yatskovskiy Andrey</t>
  </si>
  <si>
    <t xml:space="preserve">Masters 50-54 (14.08.1969)/51</t>
  </si>
  <si>
    <t xml:space="preserve">78,80</t>
  </si>
  <si>
    <t xml:space="preserve">-. Saenkov Vladimir</t>
  </si>
  <si>
    <t xml:space="preserve">Masters 60-64 (24.03.1959)/62</t>
  </si>
  <si>
    <t xml:space="preserve">82,30</t>
  </si>
  <si>
    <t xml:space="preserve">1. Mukhamadov Izzatullo</t>
  </si>
  <si>
    <t xml:space="preserve">Juniors 20-23 (11.08.1998)/22</t>
  </si>
  <si>
    <t xml:space="preserve">86,90</t>
  </si>
  <si>
    <t xml:space="preserve">147,5</t>
  </si>
  <si>
    <t xml:space="preserve">152,5</t>
  </si>
  <si>
    <t xml:space="preserve">1. Lebedev Aleksandr</t>
  </si>
  <si>
    <t xml:space="preserve">Open (05.08.1986)/34</t>
  </si>
  <si>
    <t xml:space="preserve">89,60</t>
  </si>
  <si>
    <t xml:space="preserve">175,0</t>
  </si>
  <si>
    <t xml:space="preserve">2. Atrashkov Pavel</t>
  </si>
  <si>
    <t xml:space="preserve">Open (25.04.1986)/35</t>
  </si>
  <si>
    <t xml:space="preserve">88,30</t>
  </si>
  <si>
    <t xml:space="preserve">3. Kozak Konstantin</t>
  </si>
  <si>
    <t xml:space="preserve">Open (08.10.1993)/27</t>
  </si>
  <si>
    <t xml:space="preserve">88,50</t>
  </si>
  <si>
    <t xml:space="preserve">4. Mordvinov Dmitriy</t>
  </si>
  <si>
    <t xml:space="preserve">Open (16.02.1994)/27</t>
  </si>
  <si>
    <t xml:space="preserve">87,30</t>
  </si>
  <si>
    <t xml:space="preserve">RUS/Orel</t>
  </si>
  <si>
    <t xml:space="preserve">132,5</t>
  </si>
  <si>
    <t xml:space="preserve">5. Izmaylov Ruslan</t>
  </si>
  <si>
    <t xml:space="preserve">Open (18.01.1997)/24</t>
  </si>
  <si>
    <t xml:space="preserve">89,10</t>
  </si>
  <si>
    <t xml:space="preserve">6. Nikonov Denis</t>
  </si>
  <si>
    <t xml:space="preserve">RUS/Krasnogorsk</t>
  </si>
  <si>
    <t xml:space="preserve">7. Gruntov Ilya</t>
  </si>
  <si>
    <t xml:space="preserve">Open (20.09.1995)/25</t>
  </si>
  <si>
    <t xml:space="preserve">8. Satsevich Vladimir</t>
  </si>
  <si>
    <t xml:space="preserve">9. Martsenyuk Ivan</t>
  </si>
  <si>
    <t xml:space="preserve">Open (19.02.1988)/33</t>
  </si>
  <si>
    <t xml:space="preserve">88,70</t>
  </si>
  <si>
    <t xml:space="preserve">10. Parshakin Aleksey</t>
  </si>
  <si>
    <t xml:space="preserve">Open (27.01.1993)/28</t>
  </si>
  <si>
    <t xml:space="preserve">11. Malyugin Andrey</t>
  </si>
  <si>
    <t xml:space="preserve">Open (06.05.1982)/39</t>
  </si>
  <si>
    <t xml:space="preserve">89,50</t>
  </si>
  <si>
    <t xml:space="preserve">2. Bogdanov Evgeniy</t>
  </si>
  <si>
    <t xml:space="preserve">Masters 40-44 (25.06.1978)/42</t>
  </si>
  <si>
    <t xml:space="preserve">-. Tumm Pavel</t>
  </si>
  <si>
    <t xml:space="preserve">Masters 40-44 (10.06.1976)/44</t>
  </si>
  <si>
    <t xml:space="preserve">87,00</t>
  </si>
  <si>
    <t xml:space="preserve">RUS/Kubinka</t>
  </si>
  <si>
    <t xml:space="preserve">1. Anisimov Oleg</t>
  </si>
  <si>
    <t xml:space="preserve">Masters 50-54 (01.09.1970)/50</t>
  </si>
  <si>
    <t xml:space="preserve">88,10</t>
  </si>
  <si>
    <t xml:space="preserve">RUS/Kharovsk</t>
  </si>
  <si>
    <t xml:space="preserve">1. Pletnev Matvey</t>
  </si>
  <si>
    <t xml:space="preserve">Juniors 20-23 (14.12.2000)/20</t>
  </si>
  <si>
    <t xml:space="preserve">1. Kravchenko Vitaliy</t>
  </si>
  <si>
    <t xml:space="preserve">Open (16.06.1982)/38</t>
  </si>
  <si>
    <t xml:space="preserve">RUS/Blagoveshchensk</t>
  </si>
  <si>
    <t xml:space="preserve">2. Stepanov Fedor</t>
  </si>
  <si>
    <t xml:space="preserve">Open (13.04.1987)/34</t>
  </si>
  <si>
    <t xml:space="preserve">98,90</t>
  </si>
  <si>
    <t xml:space="preserve">3. Seregin Aleksandr</t>
  </si>
  <si>
    <t xml:space="preserve">Open (15.12.1982)/38</t>
  </si>
  <si>
    <t xml:space="preserve">97,50</t>
  </si>
  <si>
    <t xml:space="preserve">-. Boyko Konstantin</t>
  </si>
  <si>
    <t xml:space="preserve">Open (12.04.1988)/33</t>
  </si>
  <si>
    <t xml:space="preserve">92,40</t>
  </si>
  <si>
    <t xml:space="preserve">-. Mustaev Timur</t>
  </si>
  <si>
    <t xml:space="preserve">Open (25.01.1987)/34</t>
  </si>
  <si>
    <t xml:space="preserve">RUS/Kazan</t>
  </si>
  <si>
    <t xml:space="preserve">1. Minkov Aleksey</t>
  </si>
  <si>
    <t xml:space="preserve">Masters 40-44 (21.07.1977)/43</t>
  </si>
  <si>
    <t xml:space="preserve">2. Skoblikov Aleksandr</t>
  </si>
  <si>
    <t xml:space="preserve">Masters 40-44 (09.05.1977)/44</t>
  </si>
  <si>
    <t xml:space="preserve">99,00</t>
  </si>
  <si>
    <t xml:space="preserve">RUS/Odintsovo</t>
  </si>
  <si>
    <t xml:space="preserve">3. Kostryukov Vladimir</t>
  </si>
  <si>
    <t xml:space="preserve">Masters 40-44 (23.04.1979)/42</t>
  </si>
  <si>
    <t xml:space="preserve">90,90</t>
  </si>
  <si>
    <t xml:space="preserve">1. Bragin Andrey</t>
  </si>
  <si>
    <t xml:space="preserve">Masters 45-49 (07.05.1976)/45</t>
  </si>
  <si>
    <t xml:space="preserve">97,70</t>
  </si>
  <si>
    <t xml:space="preserve">1. Kulemin Andrey</t>
  </si>
  <si>
    <t xml:space="preserve">Masters 55-59 (28.08.1964)/56</t>
  </si>
  <si>
    <t xml:space="preserve">98,50</t>
  </si>
  <si>
    <t xml:space="preserve">RUS/Kozmodemyansk</t>
  </si>
  <si>
    <t xml:space="preserve">2. Sapachev Aleksandr</t>
  </si>
  <si>
    <t xml:space="preserve">Masters 55-59 (13.12.1965)/55</t>
  </si>
  <si>
    <t xml:space="preserve">1. Bulgak Viorel</t>
  </si>
  <si>
    <t xml:space="preserve">Open (10.10.1985)/35</t>
  </si>
  <si>
    <t xml:space="preserve">109,00</t>
  </si>
  <si>
    <t xml:space="preserve">RUS/Zhukovskiy</t>
  </si>
  <si>
    <t xml:space="preserve">197,5</t>
  </si>
  <si>
    <t xml:space="preserve">2. Grachev Vadim</t>
  </si>
  <si>
    <t xml:space="preserve">Open (19.08.1986)/34</t>
  </si>
  <si>
    <t xml:space="preserve">105,50</t>
  </si>
  <si>
    <t xml:space="preserve">Minin Dmitriy Viktorovich</t>
  </si>
  <si>
    <t xml:space="preserve">1. Gruntov Victor</t>
  </si>
  <si>
    <t xml:space="preserve">Masters 45-49 (27.05.1972)/49</t>
  </si>
  <si>
    <t xml:space="preserve">107,80</t>
  </si>
  <si>
    <t xml:space="preserve">1. Kireev Dmitriy</t>
  </si>
  <si>
    <t xml:space="preserve">Masters 50-54 (25.08.1969)/51</t>
  </si>
  <si>
    <t xml:space="preserve">106,20</t>
  </si>
  <si>
    <t xml:space="preserve">-. Bichkov Igor</t>
  </si>
  <si>
    <t xml:space="preserve">Masters 50-54 (18.06.1970)/50</t>
  </si>
  <si>
    <t xml:space="preserve">107,20</t>
  </si>
  <si>
    <t xml:space="preserve">Dinamo-32</t>
  </si>
  <si>
    <t xml:space="preserve">1. Usoltsev Evgeniy</t>
  </si>
  <si>
    <t xml:space="preserve">Open (01.02.1970)/51</t>
  </si>
  <si>
    <t xml:space="preserve">122,60</t>
  </si>
  <si>
    <t xml:space="preserve">213,0</t>
  </si>
  <si>
    <t xml:space="preserve">2. Seleznev Vladimir</t>
  </si>
  <si>
    <t xml:space="preserve">Open (09.05.1977)/44</t>
  </si>
  <si>
    <t xml:space="preserve">124,90</t>
  </si>
  <si>
    <t xml:space="preserve">192,5</t>
  </si>
  <si>
    <t xml:space="preserve">1. Seleznev Vladimir</t>
  </si>
  <si>
    <t xml:space="preserve">Masters 50-54 (01.02.1970)/51</t>
  </si>
  <si>
    <t xml:space="preserve">Body Weight Category  140+</t>
  </si>
  <si>
    <t xml:space="preserve">1. Bezrukov Dmitriy</t>
  </si>
  <si>
    <t xml:space="preserve">Open (02.10.1981)/39</t>
  </si>
  <si>
    <t xml:space="preserve">157,30</t>
  </si>
  <si>
    <t xml:space="preserve">Uskov Valeriy</t>
  </si>
  <si>
    <t xml:space="preserve">2. Filatov Artem</t>
  </si>
  <si>
    <t xml:space="preserve">Open (26.09.1986)/34</t>
  </si>
  <si>
    <t xml:space="preserve">140,60</t>
  </si>
  <si>
    <t xml:space="preserve">Protzyuk Anna</t>
  </si>
  <si>
    <t xml:space="preserve">56,7655</t>
  </si>
  <si>
    <t xml:space="preserve">Antonova Ekaterina</t>
  </si>
  <si>
    <t xml:space="preserve">68,1875</t>
  </si>
  <si>
    <t xml:space="preserve">Kovalenko Evgeniya</t>
  </si>
  <si>
    <t xml:space="preserve">104,6210</t>
  </si>
  <si>
    <t xml:space="preserve">86,2455</t>
  </si>
  <si>
    <t xml:space="preserve">Kontar Inessa</t>
  </si>
  <si>
    <t xml:space="preserve">71,0430</t>
  </si>
  <si>
    <t xml:space="preserve">69,1093</t>
  </si>
  <si>
    <t xml:space="preserve">Sotnikova Svetlana</t>
  </si>
  <si>
    <t xml:space="preserve">68,5875</t>
  </si>
  <si>
    <t xml:space="preserve">Bazhina Ekaterina</t>
  </si>
  <si>
    <t xml:space="preserve">68,5515</t>
  </si>
  <si>
    <t xml:space="preserve">Batalova Tatyana</t>
  </si>
  <si>
    <t xml:space="preserve">68,0086</t>
  </si>
  <si>
    <t xml:space="preserve">Andreeva Svetlana</t>
  </si>
  <si>
    <t xml:space="preserve">66,0963</t>
  </si>
  <si>
    <t xml:space="preserve">Loskutova Galina</t>
  </si>
  <si>
    <t xml:space="preserve">57,8700</t>
  </si>
  <si>
    <t xml:space="preserve">Prutskova Ekaterina</t>
  </si>
  <si>
    <t xml:space="preserve">43,4350</t>
  </si>
  <si>
    <t xml:space="preserve">102,6137</t>
  </si>
  <si>
    <t xml:space="preserve">Bogomolova Mariya</t>
  </si>
  <si>
    <t xml:space="preserve">45,8578</t>
  </si>
  <si>
    <t xml:space="preserve">82,6260</t>
  </si>
  <si>
    <t xml:space="preserve">Gusev Egor</t>
  </si>
  <si>
    <t xml:space="preserve">76,4690</t>
  </si>
  <si>
    <t xml:space="preserve">Mukhamadov Izzatullo</t>
  </si>
  <si>
    <t xml:space="preserve">95,1981</t>
  </si>
  <si>
    <t xml:space="preserve">Fokin Nikolay</t>
  </si>
  <si>
    <t xml:space="preserve">75,9555</t>
  </si>
  <si>
    <t xml:space="preserve">Pletnev Matvey</t>
  </si>
  <si>
    <t xml:space="preserve">71,4542</t>
  </si>
  <si>
    <t xml:space="preserve">Tryakin Daniil</t>
  </si>
  <si>
    <t xml:space="preserve">69,6815</t>
  </si>
  <si>
    <t xml:space="preserve">Usoltsev Evgeniy</t>
  </si>
  <si>
    <t xml:space="preserve">116,4925</t>
  </si>
  <si>
    <t xml:space="preserve">Bulgak Viorel</t>
  </si>
  <si>
    <t xml:space="preserve">112,7900</t>
  </si>
  <si>
    <t xml:space="preserve">Perevalov Sergey</t>
  </si>
  <si>
    <t xml:space="preserve">108,5180</t>
  </si>
  <si>
    <t xml:space="preserve">Lebedev Aleksandr</t>
  </si>
  <si>
    <t xml:space="preserve">107,3362</t>
  </si>
  <si>
    <t xml:space="preserve">Atrashkov Pavel</t>
  </si>
  <si>
    <t xml:space="preserve">106,6826</t>
  </si>
  <si>
    <t xml:space="preserve">Bezrukov Dmitriy</t>
  </si>
  <si>
    <t xml:space="preserve">140+</t>
  </si>
  <si>
    <t xml:space="preserve">106,1470</t>
  </si>
  <si>
    <t xml:space="preserve">Seleznev Vladimir</t>
  </si>
  <si>
    <t xml:space="preserve">105,0087</t>
  </si>
  <si>
    <t xml:space="preserve">Kravchenko Vitaliy</t>
  </si>
  <si>
    <t xml:space="preserve">103,7576</t>
  </si>
  <si>
    <t xml:space="preserve">Plaksin Evgeniy</t>
  </si>
  <si>
    <t xml:space="preserve">103,3840</t>
  </si>
  <si>
    <t xml:space="preserve">Tserunyan Artem</t>
  </si>
  <si>
    <t xml:space="preserve">102,7451</t>
  </si>
  <si>
    <t xml:space="preserve">Kozak Konstantin</t>
  </si>
  <si>
    <t xml:space="preserve">100,3762</t>
  </si>
  <si>
    <t xml:space="preserve">Mordvinov Dmitriy</t>
  </si>
  <si>
    <t xml:space="preserve">99,6160</t>
  </si>
  <si>
    <t xml:space="preserve">Susloparov Aleksey</t>
  </si>
  <si>
    <t xml:space="preserve">96,5860</t>
  </si>
  <si>
    <t xml:space="preserve">Filatov Artem</t>
  </si>
  <si>
    <t xml:space="preserve">95,5152</t>
  </si>
  <si>
    <t xml:space="preserve">Izmaylov Ruslan</t>
  </si>
  <si>
    <t xml:space="preserve">95,3715</t>
  </si>
  <si>
    <t xml:space="preserve">Nekrasov Sergey</t>
  </si>
  <si>
    <t xml:space="preserve">94,8578</t>
  </si>
  <si>
    <t xml:space="preserve">Avdyunin Aleksey</t>
  </si>
  <si>
    <t xml:space="preserve">93,8858</t>
  </si>
  <si>
    <t xml:space="preserve">Morozov Aleksey</t>
  </si>
  <si>
    <t xml:space="preserve">93,5500</t>
  </si>
  <si>
    <t xml:space="preserve">Nikonov Denis</t>
  </si>
  <si>
    <t xml:space="preserve">93,5359</t>
  </si>
  <si>
    <t xml:space="preserve">Grachev Vadim</t>
  </si>
  <si>
    <t xml:space="preserve">89,7356</t>
  </si>
  <si>
    <t xml:space="preserve">Saliev Kudrat</t>
  </si>
  <si>
    <t xml:space="preserve">89,1962</t>
  </si>
  <si>
    <t xml:space="preserve">Stepanov Fedor</t>
  </si>
  <si>
    <t xml:space="preserve">89,0676</t>
  </si>
  <si>
    <t xml:space="preserve">Gruntov Ilya</t>
  </si>
  <si>
    <t xml:space="preserve">88,1291</t>
  </si>
  <si>
    <t xml:space="preserve">133,6169</t>
  </si>
  <si>
    <t xml:space="preserve">Kulemin Andrey</t>
  </si>
  <si>
    <t xml:space="preserve">125,7477</t>
  </si>
  <si>
    <t xml:space="preserve">Gruntov Victor</t>
  </si>
  <si>
    <t xml:space="preserve">116,5011</t>
  </si>
  <si>
    <t xml:space="preserve">116,2007</t>
  </si>
  <si>
    <t xml:space="preserve">109,5241</t>
  </si>
  <si>
    <t xml:space="preserve">Sapachev Aleksandr</t>
  </si>
  <si>
    <t xml:space="preserve">108,9677</t>
  </si>
  <si>
    <t xml:space="preserve">106,7265</t>
  </si>
  <si>
    <t xml:space="preserve">Bragin Andrey</t>
  </si>
  <si>
    <t xml:space="preserve">102,2081</t>
  </si>
  <si>
    <t xml:space="preserve">Kireev Dmitriy</t>
  </si>
  <si>
    <t xml:space="preserve">97,8018</t>
  </si>
  <si>
    <t xml:space="preserve">Minkov Aleksey</t>
  </si>
  <si>
    <t xml:space="preserve">97,3594</t>
  </si>
  <si>
    <t xml:space="preserve">Skoblikov Aleksandr</t>
  </si>
  <si>
    <t xml:space="preserve">95,9023</t>
  </si>
  <si>
    <t xml:space="preserve">Yatskovskiy Andrey</t>
  </si>
  <si>
    <t xml:space="preserve">87,6641</t>
  </si>
  <si>
    <t xml:space="preserve">Anisimov Oleg</t>
  </si>
  <si>
    <t xml:space="preserve">83,9703</t>
  </si>
  <si>
    <t xml:space="preserve">81,6266</t>
  </si>
  <si>
    <t xml:space="preserve">Kostryukov Vladimir</t>
  </si>
  <si>
    <t xml:space="preserve">77,5901</t>
  </si>
  <si>
    <t xml:space="preserve">Bogdanov Evgeniy</t>
  </si>
  <si>
    <t xml:space="preserve">75,0740</t>
  </si>
  <si>
    <t xml:space="preserve">OPEN EUROPE CUP WPC/AWPC/WAA-2021
AWPC multi ply powerlifting
Moscow / Russian Federation 29 - 30 May 2021</t>
  </si>
  <si>
    <t xml:space="preserve">Squat</t>
  </si>
  <si>
    <t xml:space="preserve">-. Tolmacheva Olga</t>
  </si>
  <si>
    <t xml:space="preserve">Masters 40-44 (17.06.1980)/40</t>
  </si>
  <si>
    <t xml:space="preserve">71,80</t>
  </si>
  <si>
    <t xml:space="preserve">="0.00"</t>
  </si>
  <si>
    <t xml:space="preserve">="0,0000"</t>
  </si>
  <si>
    <t xml:space="preserve">OPEN EUROPE CUP WPC/AWPC/WAA-2021
AWPC single ply powerlifting
Moscow / Russian Federation 29 - 30 May 2021</t>
  </si>
  <si>
    <t xml:space="preserve">1. Umerenkov Daniil</t>
  </si>
  <si>
    <t xml:space="preserve">Teen 16-17 (01.03.2004)/17</t>
  </si>
  <si>
    <t xml:space="preserve">182,5</t>
  </si>
  <si>
    <t xml:space="preserve">="492,5"</t>
  </si>
  <si>
    <t xml:space="preserve">="339,7757"</t>
  </si>
  <si>
    <t xml:space="preserve">Open (01.03.2004)/17</t>
  </si>
  <si>
    <t xml:space="preserve">Totall</t>
  </si>
  <si>
    <t xml:space="preserve">Umerenkov Daniil</t>
  </si>
  <si>
    <t xml:space="preserve">492,5</t>
  </si>
  <si>
    <t xml:space="preserve">339,7757</t>
  </si>
  <si>
    <t xml:space="preserve">OPEN EUROPE CUP WPC/AWPC/WAA-2021
AWPC Classic RAW powerliftig
Moscow / Russian Federation 29 - 30 May 2021</t>
  </si>
  <si>
    <t xml:space="preserve">1. Fomina Victoriya</t>
  </si>
  <si>
    <t xml:space="preserve">Open (29.11.1996)/24</t>
  </si>
  <si>
    <t xml:space="preserve">60,00</t>
  </si>
  <si>
    <t xml:space="preserve">="270,0"</t>
  </si>
  <si>
    <t xml:space="preserve">="266,6520"</t>
  </si>
  <si>
    <t xml:space="preserve">1. Ondzhe Alina</t>
  </si>
  <si>
    <t xml:space="preserve">Masters 40-44 (23.12.1977)/43</t>
  </si>
  <si>
    <t xml:space="preserve">42,5</t>
  </si>
  <si>
    <t xml:space="preserve">47,5</t>
  </si>
  <si>
    <t xml:space="preserve">="242,5"</t>
  </si>
  <si>
    <t xml:space="preserve">="248,5799"</t>
  </si>
  <si>
    <t xml:space="preserve">1. Grigoreva Nataliya</t>
  </si>
  <si>
    <t xml:space="preserve">Open (01.02.1983)/38</t>
  </si>
  <si>
    <t xml:space="preserve">61,40</t>
  </si>
  <si>
    <t xml:space="preserve">2. Moskvicheva Ludmila</t>
  </si>
  <si>
    <t xml:space="preserve">Open (09.01.1991)/30</t>
  </si>
  <si>
    <t xml:space="preserve">64,40</t>
  </si>
  <si>
    <t xml:space="preserve">1. Lukyanova Marina</t>
  </si>
  <si>
    <t xml:space="preserve">Open (09.02.1972)/49</t>
  </si>
  <si>
    <t xml:space="preserve">71,70</t>
  </si>
  <si>
    <t xml:space="preserve">1. Khrabovskaya Oksana</t>
  </si>
  <si>
    <t xml:space="preserve">Masters 45-49 (08.11.1974)/46</t>
  </si>
  <si>
    <t xml:space="preserve">74,70</t>
  </si>
  <si>
    <t xml:space="preserve">RUS/Rostov-na-Donu</t>
  </si>
  <si>
    <t xml:space="preserve">1. Bobrishev Kirill</t>
  </si>
  <si>
    <t xml:space="preserve">Open (06.05.1995)/26</t>
  </si>
  <si>
    <t xml:space="preserve">68,80</t>
  </si>
  <si>
    <t xml:space="preserve">210,0</t>
  </si>
  <si>
    <t xml:space="preserve">217,5</t>
  </si>
  <si>
    <t xml:space="preserve">1. Lototskiy Dmitriy</t>
  </si>
  <si>
    <t xml:space="preserve">Open (17.05.1990)/31</t>
  </si>
  <si>
    <t xml:space="preserve">2. Maloletnev Vladimir</t>
  </si>
  <si>
    <t xml:space="preserve">Open (13.09.1982)/38</t>
  </si>
  <si>
    <t xml:space="preserve">86,70</t>
  </si>
  <si>
    <t xml:space="preserve">1. Parfenov Sergey</t>
  </si>
  <si>
    <t xml:space="preserve">Masters 40-44 (15.08.1979)/41</t>
  </si>
  <si>
    <t xml:space="preserve">88,60</t>
  </si>
  <si>
    <t xml:space="preserve">1. Scherbakov Matvey</t>
  </si>
  <si>
    <t xml:space="preserve">Open (27.11.1993)/27</t>
  </si>
  <si>
    <t xml:space="preserve">98,60</t>
  </si>
  <si>
    <t xml:space="preserve">247,5</t>
  </si>
  <si>
    <t xml:space="preserve">257,5</t>
  </si>
  <si>
    <t xml:space="preserve">2. Pigrov Sergey</t>
  </si>
  <si>
    <t xml:space="preserve">Open (03.06.1978)/42</t>
  </si>
  <si>
    <t xml:space="preserve">96,40</t>
  </si>
  <si>
    <t xml:space="preserve">3. Satrov Andrey</t>
  </si>
  <si>
    <t xml:space="preserve">Open (14.03.1990)/31</t>
  </si>
  <si>
    <t xml:space="preserve">1. Pigrov Sergey</t>
  </si>
  <si>
    <t xml:space="preserve">Masters 40-44 (03.06.1978)/42</t>
  </si>
  <si>
    <t xml:space="preserve">1. Repkin Artem</t>
  </si>
  <si>
    <t xml:space="preserve">Open (24.06.1994)/26</t>
  </si>
  <si>
    <t xml:space="preserve">102,30</t>
  </si>
  <si>
    <t xml:space="preserve">260,0</t>
  </si>
  <si>
    <t xml:space="preserve">2. Merkulov Vitaliy</t>
  </si>
  <si>
    <t xml:space="preserve">Open (11.06.1990)/30</t>
  </si>
  <si>
    <t xml:space="preserve">108,50</t>
  </si>
  <si>
    <t xml:space="preserve">RUS/Kurchatov</t>
  </si>
  <si>
    <t xml:space="preserve">3. Morkovkin Aleksandr</t>
  </si>
  <si>
    <t xml:space="preserve">Open (22.01.1982)/39</t>
  </si>
  <si>
    <t xml:space="preserve">102,40</t>
  </si>
  <si>
    <t xml:space="preserve">4. Privezentzev Artem</t>
  </si>
  <si>
    <t xml:space="preserve">Open (14.11.1992)/28</t>
  </si>
  <si>
    <t xml:space="preserve">110,00</t>
  </si>
  <si>
    <t xml:space="preserve">Lukyanova Marina</t>
  </si>
  <si>
    <t xml:space="preserve">390,0</t>
  </si>
  <si>
    <t xml:space="preserve">336,1995</t>
  </si>
  <si>
    <t xml:space="preserve">Grigoreva Nataliya</t>
  </si>
  <si>
    <t xml:space="preserve">302,5</t>
  </si>
  <si>
    <t xml:space="preserve">293,2738</t>
  </si>
  <si>
    <t xml:space="preserve">Fomina Victoriya</t>
  </si>
  <si>
    <t xml:space="preserve">266,6520</t>
  </si>
  <si>
    <t xml:space="preserve">Moskvicheva Ludmila</t>
  </si>
  <si>
    <t xml:space="preserve">214,6935</t>
  </si>
  <si>
    <t xml:space="preserve">Khrabovskaya Oksana</t>
  </si>
  <si>
    <t xml:space="preserve">385,0</t>
  </si>
  <si>
    <t xml:space="preserve">344,7128</t>
  </si>
  <si>
    <t xml:space="preserve">Ondzhe Alina</t>
  </si>
  <si>
    <t xml:space="preserve">248,5799</t>
  </si>
  <si>
    <t xml:space="preserve">Repkin Artem</t>
  </si>
  <si>
    <t xml:space="preserve">730,0</t>
  </si>
  <si>
    <t xml:space="preserve">420,5165</t>
  </si>
  <si>
    <t xml:space="preserve">Bobrishev Kirill</t>
  </si>
  <si>
    <t xml:space="preserve">535,0</t>
  </si>
  <si>
    <t xml:space="preserve">394,0810</t>
  </si>
  <si>
    <t xml:space="preserve">Merkulov Vitaliy</t>
  </si>
  <si>
    <t xml:space="preserve">675,0</t>
  </si>
  <si>
    <t xml:space="preserve">381,1725</t>
  </si>
  <si>
    <t xml:space="preserve">Scherbakov Matvey</t>
  </si>
  <si>
    <t xml:space="preserve">640,0</t>
  </si>
  <si>
    <t xml:space="preserve">374,2720</t>
  </si>
  <si>
    <t xml:space="preserve">Morkovkin Aleksandr</t>
  </si>
  <si>
    <t xml:space="preserve">625,0</t>
  </si>
  <si>
    <t xml:space="preserve">359,9063</t>
  </si>
  <si>
    <t xml:space="preserve">Pigrov Sergey</t>
  </si>
  <si>
    <t xml:space="preserve">575,0</t>
  </si>
  <si>
    <t xml:space="preserve">339,7100</t>
  </si>
  <si>
    <t xml:space="preserve">Privezentzev Artem</t>
  </si>
  <si>
    <t xml:space="preserve">585,0</t>
  </si>
  <si>
    <t xml:space="preserve">329,0625</t>
  </si>
  <si>
    <t xml:space="preserve">Lototskiy Dmitriy</t>
  </si>
  <si>
    <t xml:space="preserve">505,0</t>
  </si>
  <si>
    <t xml:space="preserve">310,7265</t>
  </si>
  <si>
    <t xml:space="preserve">Satrov Andrey</t>
  </si>
  <si>
    <t xml:space="preserve">520,0</t>
  </si>
  <si>
    <t xml:space="preserve">304,6420</t>
  </si>
  <si>
    <t xml:space="preserve">Maloletnev Vladimir</t>
  </si>
  <si>
    <t xml:space="preserve">437,5</t>
  </si>
  <si>
    <t xml:space="preserve">273,4813</t>
  </si>
  <si>
    <t xml:space="preserve">346,5042</t>
  </si>
  <si>
    <t xml:space="preserve">Parfenov Sergey</t>
  </si>
  <si>
    <t xml:space="preserve">392,5</t>
  </si>
  <si>
    <t xml:space="preserve">244,7131</t>
  </si>
  <si>
    <t xml:space="preserve">OPEN EUROPE CUP WPC/AWPC/WAA-2021
AWPC raw powerlifting
Moscow / Russian Federation 29 - 30 May 2021</t>
  </si>
  <si>
    <t xml:space="preserve">="265,0"</t>
  </si>
  <si>
    <t xml:space="preserve">="318,5035"</t>
  </si>
  <si>
    <t xml:space="preserve">1. Khramtsova Elena</t>
  </si>
  <si>
    <t xml:space="preserve">Open (25.09.1986)/34</t>
  </si>
  <si>
    <t xml:space="preserve">1. Chuprakova Ekaterina</t>
  </si>
  <si>
    <t xml:space="preserve">Open (11.05.1982)/39</t>
  </si>
  <si>
    <t xml:space="preserve">65,60</t>
  </si>
  <si>
    <t xml:space="preserve">2. Titova Anastasiya</t>
  </si>
  <si>
    <t xml:space="preserve">Open (28.04.1997)/24</t>
  </si>
  <si>
    <t xml:space="preserve">1. Kobets Evgeniya</t>
  </si>
  <si>
    <t xml:space="preserve">Open (04.07.1993)/27</t>
  </si>
  <si>
    <t xml:space="preserve">2. Folvarkova Katerina</t>
  </si>
  <si>
    <t xml:space="preserve">Open (03.12.1994)/26</t>
  </si>
  <si>
    <t xml:space="preserve">3. Prutskova Ekaterina</t>
  </si>
  <si>
    <t xml:space="preserve">1. Goncharov Maksim</t>
  </si>
  <si>
    <t xml:space="preserve">Juniors 20-23 (01.04.2001)/20</t>
  </si>
  <si>
    <t xml:space="preserve">1. Koleboshin Dmitriy</t>
  </si>
  <si>
    <t xml:space="preserve">Juniors 20-23 (14.06.1998)/22</t>
  </si>
  <si>
    <t xml:space="preserve">2. Drozdov Nikita</t>
  </si>
  <si>
    <t xml:space="preserve">Open (18.01.1987)/34</t>
  </si>
  <si>
    <t xml:space="preserve">3. Likhachev Boris</t>
  </si>
  <si>
    <t xml:space="preserve">Open (19.12.1987)/33</t>
  </si>
  <si>
    <t xml:space="preserve">82,40</t>
  </si>
  <si>
    <t xml:space="preserve">4. Goloviychuk Aleksey</t>
  </si>
  <si>
    <t xml:space="preserve">1. Evlash Gleb</t>
  </si>
  <si>
    <t xml:space="preserve">Open (08.05.1996)/25</t>
  </si>
  <si>
    <t xml:space="preserve">87,50</t>
  </si>
  <si>
    <t xml:space="preserve">2. Ivantsov Aleksey</t>
  </si>
  <si>
    <t xml:space="preserve">Open (18.10.1983)/37</t>
  </si>
  <si>
    <t xml:space="preserve">1. Kaminskiy Evgeniy</t>
  </si>
  <si>
    <t xml:space="preserve">Open (07.06.1991)/29</t>
  </si>
  <si>
    <t xml:space="preserve">2. Kataev Oleg</t>
  </si>
  <si>
    <t xml:space="preserve">Open (23.09.1984)/36</t>
  </si>
  <si>
    <t xml:space="preserve">94,00</t>
  </si>
  <si>
    <t xml:space="preserve">3. Polukarov Andrey</t>
  </si>
  <si>
    <t xml:space="preserve">94,50</t>
  </si>
  <si>
    <t xml:space="preserve">RUS/Lipetsk</t>
  </si>
  <si>
    <t xml:space="preserve">1. Ilyashat Dmitriy</t>
  </si>
  <si>
    <t xml:space="preserve">Masters 45-49 (08.12.1975)/45</t>
  </si>
  <si>
    <t xml:space="preserve">96,50</t>
  </si>
  <si>
    <t xml:space="preserve">1. Makarov Andrey</t>
  </si>
  <si>
    <t xml:space="preserve">Masters 40-44 (18.09.1979)/41</t>
  </si>
  <si>
    <t xml:space="preserve">105,20</t>
  </si>
  <si>
    <t xml:space="preserve">247,7040</t>
  </si>
  <si>
    <t xml:space="preserve">318,5035</t>
  </si>
  <si>
    <t xml:space="preserve">Khramtsova Elena</t>
  </si>
  <si>
    <t xml:space="preserve">304,6140</t>
  </si>
  <si>
    <t xml:space="preserve">Chuprakova Ekaterina</t>
  </si>
  <si>
    <t xml:space="preserve">275,9850</t>
  </si>
  <si>
    <t xml:space="preserve">Titova Anastasiya</t>
  </si>
  <si>
    <t xml:space="preserve">270,7005</t>
  </si>
  <si>
    <t xml:space="preserve">Kobets Evgeniya</t>
  </si>
  <si>
    <t xml:space="preserve">235,1720</t>
  </si>
  <si>
    <t xml:space="preserve">Folvarkova Katerina</t>
  </si>
  <si>
    <t xml:space="preserve">209,7750</t>
  </si>
  <si>
    <t xml:space="preserve">208,4880</t>
  </si>
  <si>
    <t xml:space="preserve">Goncharov Maksim</t>
  </si>
  <si>
    <t xml:space="preserve">507,5</t>
  </si>
  <si>
    <t xml:space="preserve">381,7415</t>
  </si>
  <si>
    <t xml:space="preserve">Koleboshin Dmitriy</t>
  </si>
  <si>
    <t xml:space="preserve">490,0</t>
  </si>
  <si>
    <t xml:space="preserve">338,3940</t>
  </si>
  <si>
    <t xml:space="preserve">Kaminskiy Evgeniy</t>
  </si>
  <si>
    <t xml:space="preserve">715,0</t>
  </si>
  <si>
    <t xml:space="preserve">417,0595</t>
  </si>
  <si>
    <t xml:space="preserve">587,5</t>
  </si>
  <si>
    <t xml:space="preserve">381,7281</t>
  </si>
  <si>
    <t xml:space="preserve">Evlash Gleb</t>
  </si>
  <si>
    <t xml:space="preserve">560,0</t>
  </si>
  <si>
    <t xml:space="preserve">348,1800</t>
  </si>
  <si>
    <t xml:space="preserve">Ivantsov Aleksey</t>
  </si>
  <si>
    <t xml:space="preserve">555,0</t>
  </si>
  <si>
    <t xml:space="preserve">339,5768</t>
  </si>
  <si>
    <t xml:space="preserve">Drozdov Nikita</t>
  </si>
  <si>
    <t xml:space="preserve">470,0</t>
  </si>
  <si>
    <t xml:space="preserve">303,4320</t>
  </si>
  <si>
    <t xml:space="preserve">Likhachev Boris</t>
  </si>
  <si>
    <t xml:space="preserve">303,1970</t>
  </si>
  <si>
    <t xml:space="preserve">Goloviychuk Aleksey</t>
  </si>
  <si>
    <t xml:space="preserve">450,0</t>
  </si>
  <si>
    <t xml:space="preserve">298,5750</t>
  </si>
  <si>
    <t xml:space="preserve">Kataev Oleg</t>
  </si>
  <si>
    <t xml:space="preserve">281,0600</t>
  </si>
  <si>
    <t xml:space="preserve">Polukarov Andrey</t>
  </si>
  <si>
    <t xml:space="preserve">435,0</t>
  </si>
  <si>
    <t xml:space="preserve">259,4557</t>
  </si>
  <si>
    <t xml:space="preserve">Makarov Andrey</t>
  </si>
  <si>
    <t xml:space="preserve">570,0</t>
  </si>
  <si>
    <t xml:space="preserve">328,3217</t>
  </si>
  <si>
    <t xml:space="preserve">Ilyashat Dmitriy</t>
  </si>
  <si>
    <t xml:space="preserve">452,5</t>
  </si>
  <si>
    <t xml:space="preserve">281,8973</t>
  </si>
  <si>
    <t xml:space="preserve">OPEN EUROPE CUP WPC/AWPC/WAA-2021
WPC st. soft eq. benchpress
Moscow / Russian Federation 29 - 30 May 2021</t>
  </si>
  <si>
    <t xml:space="preserve">="185,0"</t>
  </si>
  <si>
    <t xml:space="preserve">="100,7084"</t>
  </si>
  <si>
    <t xml:space="preserve">1. Zhiltsov Igor</t>
  </si>
  <si>
    <t xml:space="preserve">Masters 50-54 (14.08.1970)/50</t>
  </si>
  <si>
    <t xml:space="preserve">130,40</t>
  </si>
  <si>
    <t xml:space="preserve">RUS/Domodedovo</t>
  </si>
  <si>
    <t xml:space="preserve">="260,0"</t>
  </si>
  <si>
    <t xml:space="preserve">="158,6314"</t>
  </si>
  <si>
    <t xml:space="preserve">100,7084</t>
  </si>
  <si>
    <t xml:space="preserve">Zhiltsov Igor</t>
  </si>
  <si>
    <t xml:space="preserve">158,6314</t>
  </si>
  <si>
    <t xml:space="preserve">OPEN EUROPE CUP WPC/AWPC/WAA-2021
WPC raw benchpress
Moscow / Russian Federation 29 - 30 May 2021</t>
  </si>
  <si>
    <t xml:space="preserve">Teen 13-15 (22.02.2007)/14</t>
  </si>
  <si>
    <t xml:space="preserve">="72,5"</t>
  </si>
  <si>
    <t xml:space="preserve">="84,9337"</t>
  </si>
  <si>
    <t xml:space="preserve">1. Lyakh Elena</t>
  </si>
  <si>
    <t xml:space="preserve">Masters 45-49 (13.05.1975)/46</t>
  </si>
  <si>
    <t xml:space="preserve">54,20</t>
  </si>
  <si>
    <t xml:space="preserve">1. Zhiltsova Kira</t>
  </si>
  <si>
    <t xml:space="preserve">Masters 75-79 (24.04.1944)/77</t>
  </si>
  <si>
    <t xml:space="preserve">65,00</t>
  </si>
  <si>
    <t xml:space="preserve">41,0</t>
  </si>
  <si>
    <t xml:space="preserve">Petrov Aleksandr</t>
  </si>
  <si>
    <t xml:space="preserve">Masters 40-44 (31.07.1979)/41</t>
  </si>
  <si>
    <t xml:space="preserve">1. Raspopov Yuriy</t>
  </si>
  <si>
    <t xml:space="preserve">Open (16.12.1992)/28</t>
  </si>
  <si>
    <t xml:space="preserve">RUS/Donskoy</t>
  </si>
  <si>
    <t xml:space="preserve">2. Marin Nikita</t>
  </si>
  <si>
    <t xml:space="preserve">Open (20.04.1990)/31</t>
  </si>
  <si>
    <t xml:space="preserve">80,50</t>
  </si>
  <si>
    <t xml:space="preserve">3. Simonov Maksim</t>
  </si>
  <si>
    <t xml:space="preserve">1. Barukov Igor</t>
  </si>
  <si>
    <t xml:space="preserve">Open (25.04.1985)/36</t>
  </si>
  <si>
    <t xml:space="preserve">99,70</t>
  </si>
  <si>
    <t xml:space="preserve">2. Artyakov Mikhail</t>
  </si>
  <si>
    <t xml:space="preserve">Open (30.03.1989)/32</t>
  </si>
  <si>
    <t xml:space="preserve">RUS/Podolsk</t>
  </si>
  <si>
    <t xml:space="preserve">3. Bayduk Sergey</t>
  </si>
  <si>
    <t xml:space="preserve">Open (07.04.1993)/28</t>
  </si>
  <si>
    <t xml:space="preserve">Masters 45-49 (25.03.1974)/47</t>
  </si>
  <si>
    <t xml:space="preserve">1. Don Vadim</t>
  </si>
  <si>
    <t xml:space="preserve">Masters 55-59 (17.06.1962)/58</t>
  </si>
  <si>
    <t xml:space="preserve">91,00</t>
  </si>
  <si>
    <t xml:space="preserve">1. Petrov Aleksandr</t>
  </si>
  <si>
    <t xml:space="preserve">Masters 60-64 (17.07.1960)/60</t>
  </si>
  <si>
    <t xml:space="preserve">93,00</t>
  </si>
  <si>
    <t xml:space="preserve">200,5</t>
  </si>
  <si>
    <t xml:space="preserve">1. Bazanov Evgeniy</t>
  </si>
  <si>
    <t xml:space="preserve">Open (01.08.1991)/29</t>
  </si>
  <si>
    <t xml:space="preserve">121,50</t>
  </si>
  <si>
    <t xml:space="preserve">84,9337</t>
  </si>
  <si>
    <t xml:space="preserve">88,5215</t>
  </si>
  <si>
    <t xml:space="preserve">Zhiltsova Kira</t>
  </si>
  <si>
    <t xml:space="preserve">Masters 75-79</t>
  </si>
  <si>
    <t xml:space="preserve">79,9792</t>
  </si>
  <si>
    <t xml:space="preserve">Lyakh Elena</t>
  </si>
  <si>
    <t xml:space="preserve">74,3905</t>
  </si>
  <si>
    <t xml:space="preserve">Barukov Igor</t>
  </si>
  <si>
    <t xml:space="preserve">129,5061</t>
  </si>
  <si>
    <t xml:space="preserve">Raspopov Yuriy</t>
  </si>
  <si>
    <t xml:space="preserve">126,3990</t>
  </si>
  <si>
    <t xml:space="preserve">Marin Nikita</t>
  </si>
  <si>
    <t xml:space="preserve">116,2714</t>
  </si>
  <si>
    <t xml:space="preserve">Artyakov Mikhail</t>
  </si>
  <si>
    <t xml:space="preserve">113,8410</t>
  </si>
  <si>
    <t xml:space="preserve">Bazanov Evgeniy</t>
  </si>
  <si>
    <t xml:space="preserve">104,3860</t>
  </si>
  <si>
    <t xml:space="preserve">Bayduk Sergey</t>
  </si>
  <si>
    <t xml:space="preserve">101,5766</t>
  </si>
  <si>
    <t xml:space="preserve">75,2100</t>
  </si>
  <si>
    <t xml:space="preserve">Masters 60-64</t>
  </si>
  <si>
    <t xml:space="preserve">161,1484</t>
  </si>
  <si>
    <t xml:space="preserve">117,8778</t>
  </si>
  <si>
    <t xml:space="preserve">117,8100</t>
  </si>
  <si>
    <t xml:space="preserve">106,7712</t>
  </si>
  <si>
    <t xml:space="preserve">Don Vadim</t>
  </si>
  <si>
    <t xml:space="preserve">64,7779</t>
  </si>
  <si>
    <t xml:space="preserve">OPEN EUROPE CUP WPC/AWPC/WAA-2021
WPC single ply powerlifting
Moscow / Russian Federation 29 - 30 May 2021</t>
  </si>
  <si>
    <t xml:space="preserve">-. Fokin Denis</t>
  </si>
  <si>
    <t xml:space="preserve">Open (04.09.1987)/33</t>
  </si>
  <si>
    <t xml:space="preserve">98,80</t>
  </si>
  <si>
    <t xml:space="preserve">Kuznetsov Yevgeniy</t>
  </si>
  <si>
    <t xml:space="preserve">OPEN EUROPE CUP WPC/AWPC/WAA-2021
WPC Classic RAW powerliftig
Moscow / Russian Federation 29 - 30 May 2021</t>
  </si>
  <si>
    <t xml:space="preserve">1. Karaev Raul</t>
  </si>
  <si>
    <t xml:space="preserve">Open (03.10.1994)/26</t>
  </si>
  <si>
    <t xml:space="preserve">80,00</t>
  </si>
  <si>
    <t xml:space="preserve">RUS/Tula</t>
  </si>
  <si>
    <t xml:space="preserve">="590,0"</t>
  </si>
  <si>
    <t xml:space="preserve">="388,1020"</t>
  </si>
  <si>
    <t xml:space="preserve">-. Kalashnikov Stanislav</t>
  </si>
  <si>
    <t xml:space="preserve">Open (07.05.1992)/29</t>
  </si>
  <si>
    <t xml:space="preserve">89,80</t>
  </si>
  <si>
    <t xml:space="preserve">1. Zaytsev Aleksandr</t>
  </si>
  <si>
    <t xml:space="preserve">Masters 40-44 (06.04.1980)/41</t>
  </si>
  <si>
    <t xml:space="preserve">122,00</t>
  </si>
  <si>
    <t xml:space="preserve">RUS/Stavropol</t>
  </si>
  <si>
    <t xml:space="preserve">320,0</t>
  </si>
  <si>
    <t xml:space="preserve">330,0</t>
  </si>
  <si>
    <t xml:space="preserve">Karaev Raul</t>
  </si>
  <si>
    <t xml:space="preserve">590,0</t>
  </si>
  <si>
    <t xml:space="preserve">388,1020</t>
  </si>
  <si>
    <t xml:space="preserve">600,0</t>
  </si>
  <si>
    <t xml:space="preserve">367,1100</t>
  </si>
  <si>
    <t xml:space="preserve">Zaytsev Aleksandr</t>
  </si>
  <si>
    <t xml:space="preserve">810,0</t>
  </si>
  <si>
    <t xml:space="preserve">449,0142</t>
  </si>
  <si>
    <t xml:space="preserve">682,5</t>
  </si>
  <si>
    <t xml:space="preserve">447,7975</t>
  </si>
  <si>
    <t xml:space="preserve">OPEN EUROPE CUP WPC/AWPC/WAA-2021
WPC raw powerlifting
Moscow / Russian Federation 29 - 30 May 2021</t>
  </si>
  <si>
    <t xml:space="preserve">1. Zhuk Yuliya</t>
  </si>
  <si>
    <t xml:space="preserve">Open (01.04.1986)/35</t>
  </si>
  <si>
    <t xml:space="preserve">48,00</t>
  </si>
  <si>
    <t xml:space="preserve">RUS/Sankt-Peterburg</t>
  </si>
  <si>
    <t xml:space="preserve">="292,5"</t>
  </si>
  <si>
    <t xml:space="preserve">="344,8575"</t>
  </si>
  <si>
    <t xml:space="preserve">1. Abramova Yuliya</t>
  </si>
  <si>
    <t xml:space="preserve">Open (29.06.1982)/38</t>
  </si>
  <si>
    <t xml:space="preserve">55,60</t>
  </si>
  <si>
    <t xml:space="preserve">RUS/Vsevolozhsk</t>
  </si>
  <si>
    <t xml:space="preserve">1. Bondarchuk Elena</t>
  </si>
  <si>
    <t xml:space="preserve">Open (18.06.1980)/40</t>
  </si>
  <si>
    <t xml:space="preserve">Taranukhin G.Yu.</t>
  </si>
  <si>
    <t xml:space="preserve">1. Piskunov Aleksey</t>
  </si>
  <si>
    <t xml:space="preserve">Teen 16-17 (06.06.2004)/16</t>
  </si>
  <si>
    <t xml:space="preserve">73,20</t>
  </si>
  <si>
    <t xml:space="preserve">1. Kaputin Denis</t>
  </si>
  <si>
    <t xml:space="preserve">Open (03.05.1988)/33</t>
  </si>
  <si>
    <t xml:space="preserve">96,45</t>
  </si>
  <si>
    <t xml:space="preserve">1. Golev Nikolay</t>
  </si>
  <si>
    <t xml:space="preserve">Open (23.03.1989)/32</t>
  </si>
  <si>
    <t xml:space="preserve">114,80</t>
  </si>
  <si>
    <t xml:space="preserve">RUS/Orsk</t>
  </si>
  <si>
    <t xml:space="preserve">225,0</t>
  </si>
  <si>
    <t xml:space="preserve">Abramova Yuliya</t>
  </si>
  <si>
    <t xml:space="preserve">420,0</t>
  </si>
  <si>
    <t xml:space="preserve">441,0000</t>
  </si>
  <si>
    <t xml:space="preserve">Bondarchuk Elena</t>
  </si>
  <si>
    <t xml:space="preserve">429,6060</t>
  </si>
  <si>
    <t xml:space="preserve">Zhuk Yuliya</t>
  </si>
  <si>
    <t xml:space="preserve">292,5</t>
  </si>
  <si>
    <t xml:space="preserve">344,8575</t>
  </si>
  <si>
    <t xml:space="preserve">Piskunov Aleksey</t>
  </si>
  <si>
    <t xml:space="preserve">405,0</t>
  </si>
  <si>
    <t xml:space="preserve">283,9658</t>
  </si>
  <si>
    <t xml:space="preserve">Golev Nikolay</t>
  </si>
  <si>
    <t xml:space="preserve">375,6038</t>
  </si>
  <si>
    <t xml:space="preserve">Kaputin Denis</t>
  </si>
  <si>
    <t xml:space="preserve">627,5</t>
  </si>
  <si>
    <t xml:space="preserve">370,6329</t>
  </si>
  <si>
    <t xml:space="preserve">OPEN EUROPE CUP WPC/AWPC/WAA-2021
«Excalibur»
Moscow / Russian Federation 29 - 30 May 2021</t>
  </si>
  <si>
    <t xml:space="preserve">Armlift</t>
  </si>
  <si>
    <t xml:space="preserve">="62,5"</t>
  </si>
  <si>
    <t xml:space="preserve">="64,7812"</t>
  </si>
  <si>
    <t xml:space="preserve">Master 40+ (25.10.1955)/65</t>
  </si>
  <si>
    <t xml:space="preserve">64,7812</t>
  </si>
  <si>
    <t xml:space="preserve">Master</t>
  </si>
  <si>
    <t xml:space="preserve">Master 40+</t>
  </si>
  <si>
    <t xml:space="preserve">65,2325</t>
  </si>
  <si>
    <t xml:space="preserve">OPEN EUROPE CUP WPC/AWPC/WAA-2021
«Russian brick»
Moscow / Russian Federation 29 - 30 May 2021</t>
  </si>
  <si>
    <t xml:space="preserve">44,0</t>
  </si>
  <si>
    <t xml:space="preserve">49,0</t>
  </si>
  <si>
    <t xml:space="preserve">54,0</t>
  </si>
  <si>
    <t xml:space="preserve">="49,0"</t>
  </si>
  <si>
    <t xml:space="preserve">="39,9549"</t>
  </si>
  <si>
    <t xml:space="preserve">39,9549</t>
  </si>
  <si>
    <t xml:space="preserve">OPEN EUROPE CUP WPC/AWPC/WAA-2021
«Russian Axle»
Moscow / Russian Federation 29 - 30 May 2021</t>
  </si>
  <si>
    <t xml:space="preserve">="95,8762"</t>
  </si>
  <si>
    <t xml:space="preserve">Body Weight Category  70</t>
  </si>
  <si>
    <t xml:space="preserve">Body Weight Category  80</t>
  </si>
  <si>
    <t xml:space="preserve">1. Melkova Natalya</t>
  </si>
  <si>
    <t xml:space="preserve">Master 40+ (21.09.1968)/52</t>
  </si>
  <si>
    <t xml:space="preserve">78,00</t>
  </si>
  <si>
    <t xml:space="preserve">RUS/Perm</t>
  </si>
  <si>
    <t xml:space="preserve">Romanov Aleksandr</t>
  </si>
  <si>
    <t xml:space="preserve">95,8762</t>
  </si>
  <si>
    <t xml:space="preserve">70</t>
  </si>
  <si>
    <t xml:space="preserve">61,3535</t>
  </si>
  <si>
    <t xml:space="preserve">Melkova Natalya</t>
  </si>
  <si>
    <t xml:space="preserve">80</t>
  </si>
  <si>
    <t xml:space="preserve">99,6765</t>
  </si>
  <si>
    <t xml:space="preserve">98,8487</t>
  </si>
  <si>
    <t xml:space="preserve">85,8865</t>
  </si>
  <si>
    <t xml:space="preserve">OPEN EUROPE CUP WPC/AWPC/WAA-2021
«Russian Roullette»
Moscow / Russian Federation 29 - 30 May 2021</t>
  </si>
  <si>
    <t xml:space="preserve">38,0</t>
  </si>
  <si>
    <t xml:space="preserve">40,5</t>
  </si>
  <si>
    <t xml:space="preserve">43,0</t>
  </si>
  <si>
    <t xml:space="preserve">="43,0"</t>
  </si>
  <si>
    <t xml:space="preserve">="44,5695"</t>
  </si>
  <si>
    <t xml:space="preserve">Junior (01.03.2004)/17</t>
  </si>
  <si>
    <t xml:space="preserve">50,5</t>
  </si>
  <si>
    <t xml:space="preserve">73,0</t>
  </si>
  <si>
    <t xml:space="preserve">68,0</t>
  </si>
  <si>
    <t xml:space="preserve">78,0</t>
  </si>
  <si>
    <t xml:space="preserve">83,0</t>
  </si>
  <si>
    <t xml:space="preserve">44,5695</t>
  </si>
  <si>
    <t xml:space="preserve">Junior</t>
  </si>
  <si>
    <t xml:space="preserve">34,8399</t>
  </si>
  <si>
    <t xml:space="preserve">44,0583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</si>
</sst>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6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24"/>
      <name val="Arial Cyr"/>
      <family val="2"/>
      <charset val="204"/>
    </font>
    <font>
      <b val="true"/>
      <sz val="11"/>
      <name val="Arial Cyr"/>
      <family val="0"/>
      <charset val="204"/>
    </font>
    <font>
      <sz val="11"/>
      <name val="Arial Cyr"/>
      <family val="0"/>
      <charset val="204"/>
    </font>
    <font>
      <i val="true"/>
      <sz val="12"/>
      <name val="Arial Cyr"/>
      <family val="0"/>
      <charset val="204"/>
    </font>
    <font>
      <strike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b val="true"/>
      <i val="true"/>
      <sz val="12"/>
      <name val="Arial Cyr"/>
      <family val="0"/>
      <charset val="204"/>
    </font>
    <font>
      <b val="true"/>
      <i val="true"/>
      <sz val="11"/>
      <name val="Arial Cyr"/>
      <family val="0"/>
      <charset val="204"/>
    </font>
    <font>
      <i val="true"/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19.12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5.8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1" min="11" style="4" width="8"/>
    <col collapsed="false" customWidth="true" hidden="false" outlineLevel="0" max="12" min="12" style="4" width="10.99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/>
      <c r="H3" s="10"/>
      <c r="I3" s="10"/>
      <c r="J3" s="10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5</v>
      </c>
      <c r="H4" s="12" t="n">
        <v>6</v>
      </c>
      <c r="I4" s="12" t="n">
        <v>7</v>
      </c>
      <c r="J4" s="12" t="n">
        <v>8</v>
      </c>
    </row>
    <row r="5" s="2" customFormat="true" ht="15.6" hidden="false" customHeight="false" outlineLevel="0" collapsed="false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9</v>
      </c>
      <c r="B6" s="15" t="s">
        <v>10</v>
      </c>
      <c r="C6" s="15" t="s">
        <v>11</v>
      </c>
      <c r="D6" s="15" t="str">
        <f aca="false">"0,6161"</f>
        <v>0,6161</v>
      </c>
      <c r="E6" s="16" t="s">
        <v>12</v>
      </c>
      <c r="F6" s="16" t="s">
        <v>13</v>
      </c>
      <c r="G6" s="15" t="s">
        <v>14</v>
      </c>
      <c r="H6" s="15" t="s">
        <v>15</v>
      </c>
      <c r="I6" s="17" t="s">
        <v>16</v>
      </c>
      <c r="J6" s="17"/>
      <c r="K6" s="15" t="s">
        <v>17</v>
      </c>
      <c r="L6" s="15" t="s">
        <v>18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19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9" t="s">
        <v>20</v>
      </c>
      <c r="B9" s="20" t="s">
        <v>21</v>
      </c>
      <c r="C9" s="20" t="s">
        <v>22</v>
      </c>
      <c r="D9" s="20" t="str">
        <f aca="false">"0,5885"</f>
        <v>0,5885</v>
      </c>
      <c r="E9" s="21" t="s">
        <v>12</v>
      </c>
      <c r="F9" s="21" t="s">
        <v>23</v>
      </c>
      <c r="G9" s="20" t="s">
        <v>24</v>
      </c>
      <c r="H9" s="22" t="s">
        <v>25</v>
      </c>
      <c r="I9" s="22" t="s">
        <v>25</v>
      </c>
      <c r="J9" s="22"/>
      <c r="K9" s="23" t="str">
        <f aca="false">"245,0"</f>
        <v>245,0</v>
      </c>
      <c r="L9" s="23" t="str">
        <f aca="false">"144,1947"</f>
        <v>144,1947</v>
      </c>
      <c r="M9" s="23"/>
    </row>
    <row r="10" customFormat="false" ht="13.2" hidden="false" customHeight="false" outlineLevel="0" collapsed="false">
      <c r="A10" s="24" t="s">
        <v>26</v>
      </c>
      <c r="B10" s="25" t="s">
        <v>27</v>
      </c>
      <c r="C10" s="25" t="s">
        <v>28</v>
      </c>
      <c r="D10" s="25" t="str">
        <f aca="false">"0,5846"</f>
        <v>0,5846</v>
      </c>
      <c r="E10" s="26" t="s">
        <v>12</v>
      </c>
      <c r="F10" s="26" t="s">
        <v>29</v>
      </c>
      <c r="G10" s="27" t="s">
        <v>30</v>
      </c>
      <c r="H10" s="27" t="s">
        <v>15</v>
      </c>
      <c r="I10" s="27" t="s">
        <v>31</v>
      </c>
      <c r="J10" s="27"/>
      <c r="K10" s="28" t="str">
        <f aca="false">"0.00"</f>
        <v>0.00</v>
      </c>
      <c r="L10" s="28" t="str">
        <f aca="false">"0,0000"</f>
        <v>0,0000</v>
      </c>
      <c r="M10" s="28"/>
    </row>
    <row r="12" customFormat="false" ht="15.6" hidden="false" customHeight="false" outlineLevel="0" collapsed="false">
      <c r="A12" s="18" t="s">
        <v>32</v>
      </c>
      <c r="B12" s="18"/>
      <c r="C12" s="18"/>
      <c r="D12" s="18"/>
      <c r="E12" s="18"/>
      <c r="F12" s="18"/>
      <c r="G12" s="18"/>
      <c r="H12" s="18"/>
      <c r="I12" s="18"/>
      <c r="J12" s="18"/>
    </row>
    <row r="13" customFormat="false" ht="13.2" hidden="false" customHeight="false" outlineLevel="0" collapsed="false">
      <c r="A13" s="14" t="s">
        <v>33</v>
      </c>
      <c r="B13" s="15" t="s">
        <v>34</v>
      </c>
      <c r="C13" s="15" t="s">
        <v>35</v>
      </c>
      <c r="D13" s="15" t="str">
        <f aca="false">"0,5681"</f>
        <v>0,5681</v>
      </c>
      <c r="E13" s="16" t="s">
        <v>12</v>
      </c>
      <c r="F13" s="16" t="s">
        <v>36</v>
      </c>
      <c r="G13" s="17" t="s">
        <v>15</v>
      </c>
      <c r="H13" s="17" t="s">
        <v>37</v>
      </c>
      <c r="I13" s="17" t="s">
        <v>37</v>
      </c>
      <c r="J13" s="17"/>
      <c r="K13" s="29" t="str">
        <f aca="false">"0.00"</f>
        <v>0.00</v>
      </c>
      <c r="L13" s="29" t="str">
        <f aca="false">"0,0000"</f>
        <v>0,0000</v>
      </c>
      <c r="M13" s="29"/>
    </row>
    <row r="15" customFormat="false" ht="15.6" hidden="false" customHeight="false" outlineLevel="0" collapsed="false">
      <c r="A15" s="18" t="s">
        <v>38</v>
      </c>
      <c r="B15" s="18"/>
      <c r="C15" s="18"/>
      <c r="D15" s="18"/>
      <c r="E15" s="18"/>
      <c r="F15" s="18"/>
      <c r="G15" s="18"/>
      <c r="H15" s="18"/>
      <c r="I15" s="18"/>
      <c r="J15" s="18"/>
    </row>
    <row r="16" customFormat="false" ht="13.2" hidden="false" customHeight="false" outlineLevel="0" collapsed="false">
      <c r="A16" s="19" t="s">
        <v>39</v>
      </c>
      <c r="B16" s="20" t="s">
        <v>40</v>
      </c>
      <c r="C16" s="20" t="s">
        <v>41</v>
      </c>
      <c r="D16" s="20" t="str">
        <f aca="false">"0,5547"</f>
        <v>0,5547</v>
      </c>
      <c r="E16" s="21" t="s">
        <v>12</v>
      </c>
      <c r="F16" s="21" t="s">
        <v>29</v>
      </c>
      <c r="G16" s="20" t="s">
        <v>42</v>
      </c>
      <c r="H16" s="22" t="s">
        <v>43</v>
      </c>
      <c r="I16" s="20" t="s">
        <v>43</v>
      </c>
      <c r="J16" s="22"/>
      <c r="K16" s="23" t="str">
        <f aca="false">"310,0"</f>
        <v>310,0</v>
      </c>
      <c r="L16" s="23" t="str">
        <f aca="false">"171,9570"</f>
        <v>171,9570</v>
      </c>
      <c r="M16" s="23"/>
    </row>
    <row r="17" customFormat="false" ht="13.2" hidden="false" customHeight="false" outlineLevel="0" collapsed="false">
      <c r="A17" s="30" t="s">
        <v>44</v>
      </c>
      <c r="B17" s="31" t="s">
        <v>45</v>
      </c>
      <c r="C17" s="31" t="s">
        <v>46</v>
      </c>
      <c r="D17" s="31" t="str">
        <f aca="false">"0,5570"</f>
        <v>0,5570</v>
      </c>
      <c r="E17" s="32" t="s">
        <v>12</v>
      </c>
      <c r="F17" s="32" t="s">
        <v>47</v>
      </c>
      <c r="G17" s="31" t="s">
        <v>48</v>
      </c>
      <c r="H17" s="31" t="s">
        <v>49</v>
      </c>
      <c r="I17" s="33" t="s">
        <v>43</v>
      </c>
      <c r="J17" s="33"/>
      <c r="K17" s="34" t="str">
        <f aca="false">"305,0"</f>
        <v>305,0</v>
      </c>
      <c r="L17" s="34" t="str">
        <f aca="false">"169,8850"</f>
        <v>169,8850</v>
      </c>
      <c r="M17" s="34"/>
    </row>
    <row r="18" customFormat="false" ht="13.2" hidden="false" customHeight="false" outlineLevel="0" collapsed="false">
      <c r="A18" s="24" t="s">
        <v>50</v>
      </c>
      <c r="B18" s="25" t="s">
        <v>51</v>
      </c>
      <c r="C18" s="25" t="s">
        <v>52</v>
      </c>
      <c r="D18" s="25" t="str">
        <f aca="false">"0,5573"</f>
        <v>0,5573</v>
      </c>
      <c r="E18" s="26" t="s">
        <v>12</v>
      </c>
      <c r="F18" s="26" t="s">
        <v>53</v>
      </c>
      <c r="G18" s="27" t="s">
        <v>54</v>
      </c>
      <c r="H18" s="27" t="s">
        <v>54</v>
      </c>
      <c r="I18" s="27" t="s">
        <v>55</v>
      </c>
      <c r="J18" s="27"/>
      <c r="K18" s="28" t="str">
        <f aca="false">"0.00"</f>
        <v>0.00</v>
      </c>
      <c r="L18" s="28" t="str">
        <f aca="false">"0,0000"</f>
        <v>0,0000</v>
      </c>
      <c r="M18" s="28"/>
    </row>
    <row r="20" customFormat="false" ht="15" hidden="false" customHeight="false" outlineLevel="0" collapsed="false">
      <c r="E20" s="35" t="s">
        <v>56</v>
      </c>
    </row>
    <row r="21" customFormat="false" ht="15" hidden="false" customHeight="false" outlineLevel="0" collapsed="false">
      <c r="E21" s="35" t="s">
        <v>57</v>
      </c>
    </row>
    <row r="22" customFormat="false" ht="15" hidden="false" customHeight="false" outlineLevel="0" collapsed="false">
      <c r="E22" s="35" t="s">
        <v>58</v>
      </c>
    </row>
    <row r="23" customFormat="false" ht="13.2" hidden="false" customHeight="false" outlineLevel="0" collapsed="false">
      <c r="E23" s="3" t="s">
        <v>59</v>
      </c>
    </row>
    <row r="24" customFormat="false" ht="13.2" hidden="false" customHeight="false" outlineLevel="0" collapsed="false">
      <c r="E24" s="3" t="s">
        <v>60</v>
      </c>
    </row>
    <row r="25" customFormat="false" ht="13.2" hidden="false" customHeight="false" outlineLevel="0" collapsed="false">
      <c r="E25" s="3" t="s">
        <v>61</v>
      </c>
    </row>
    <row r="28" customFormat="false" ht="17.4" hidden="false" customHeight="false" outlineLevel="0" collapsed="false">
      <c r="A28" s="36" t="s">
        <v>62</v>
      </c>
      <c r="B28" s="37"/>
    </row>
    <row r="29" customFormat="false" ht="15.6" hidden="false" customHeight="false" outlineLevel="0" collapsed="false">
      <c r="A29" s="38" t="s">
        <v>63</v>
      </c>
      <c r="B29" s="18"/>
    </row>
    <row r="30" customFormat="false" ht="14.4" hidden="false" customHeight="false" outlineLevel="0" collapsed="false">
      <c r="A30" s="39"/>
      <c r="B30" s="40" t="s">
        <v>64</v>
      </c>
    </row>
    <row r="31" customFormat="false" ht="13.8" hidden="false" customHeight="false" outlineLevel="0" collapsed="false">
      <c r="A31" s="41" t="s">
        <v>1</v>
      </c>
      <c r="B31" s="41" t="s">
        <v>65</v>
      </c>
      <c r="C31" s="41" t="s">
        <v>66</v>
      </c>
      <c r="D31" s="41" t="s">
        <v>67</v>
      </c>
      <c r="E31" s="41" t="s">
        <v>4</v>
      </c>
    </row>
    <row r="32" customFormat="false" ht="13.2" hidden="false" customHeight="false" outlineLevel="0" collapsed="false">
      <c r="A32" s="42" t="s">
        <v>68</v>
      </c>
      <c r="B32" s="2" t="s">
        <v>64</v>
      </c>
      <c r="C32" s="2" t="s">
        <v>69</v>
      </c>
      <c r="D32" s="2" t="s">
        <v>15</v>
      </c>
      <c r="E32" s="1" t="s">
        <v>70</v>
      </c>
    </row>
    <row r="33" customFormat="false" ht="13.2" hidden="false" customHeight="false" outlineLevel="0" collapsed="false">
      <c r="A33" s="42" t="s">
        <v>71</v>
      </c>
      <c r="B33" s="2" t="s">
        <v>64</v>
      </c>
      <c r="C33" s="2" t="s">
        <v>72</v>
      </c>
      <c r="D33" s="2" t="s">
        <v>43</v>
      </c>
      <c r="E33" s="1" t="s">
        <v>73</v>
      </c>
    </row>
    <row r="34" customFormat="false" ht="13.2" hidden="false" customHeight="false" outlineLevel="0" collapsed="false">
      <c r="A34" s="42" t="s">
        <v>74</v>
      </c>
      <c r="B34" s="2" t="s">
        <v>64</v>
      </c>
      <c r="C34" s="2" t="s">
        <v>72</v>
      </c>
      <c r="D34" s="2" t="s">
        <v>49</v>
      </c>
      <c r="E34" s="1" t="s">
        <v>75</v>
      </c>
    </row>
    <row r="35" customFormat="false" ht="13.2" hidden="false" customHeight="false" outlineLevel="0" collapsed="false">
      <c r="A35" s="42" t="s">
        <v>76</v>
      </c>
      <c r="B35" s="2" t="s">
        <v>64</v>
      </c>
      <c r="C35" s="2" t="s">
        <v>77</v>
      </c>
      <c r="D35" s="2" t="s">
        <v>24</v>
      </c>
      <c r="E35" s="1" t="s">
        <v>78</v>
      </c>
    </row>
  </sheetData>
  <mergeCells count="12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2:J12"/>
    <mergeCell ref="A15:J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9.65"/>
    <col collapsed="false" customWidth="true" hidden="false" outlineLevel="0" max="9" min="7" style="2" width="5.55"/>
    <col collapsed="false" customWidth="true" hidden="false" outlineLevel="0" max="10" min="10" style="2" width="3.22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482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4"/>
      <c r="H3" s="44"/>
      <c r="I3" s="44"/>
      <c r="J3" s="44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9</v>
      </c>
      <c r="H4" s="12" t="n">
        <v>10</v>
      </c>
      <c r="I4" s="12" t="n">
        <v>11</v>
      </c>
      <c r="J4" s="12" t="n">
        <v>12</v>
      </c>
    </row>
    <row r="5" s="2" customFormat="true" ht="15.6" hidden="false" customHeight="false" outlineLevel="0" collapsed="false">
      <c r="A5" s="13" t="s">
        <v>136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483</v>
      </c>
      <c r="B6" s="15" t="s">
        <v>484</v>
      </c>
      <c r="C6" s="15" t="s">
        <v>485</v>
      </c>
      <c r="D6" s="15" t="str">
        <f aca="false">"0,9919"</f>
        <v>0,9919</v>
      </c>
      <c r="E6" s="16" t="s">
        <v>12</v>
      </c>
      <c r="F6" s="16" t="s">
        <v>340</v>
      </c>
      <c r="G6" s="15" t="s">
        <v>155</v>
      </c>
      <c r="H6" s="15" t="s">
        <v>486</v>
      </c>
      <c r="I6" s="15" t="s">
        <v>487</v>
      </c>
      <c r="J6" s="17"/>
      <c r="K6" s="15" t="s">
        <v>488</v>
      </c>
      <c r="L6" s="15" t="s">
        <v>489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145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9" t="s">
        <v>490</v>
      </c>
      <c r="B9" s="20" t="s">
        <v>491</v>
      </c>
      <c r="C9" s="20" t="s">
        <v>492</v>
      </c>
      <c r="D9" s="20" t="str">
        <f aca="false">"0,8925"</f>
        <v>0,8925</v>
      </c>
      <c r="E9" s="21" t="s">
        <v>12</v>
      </c>
      <c r="F9" s="21" t="s">
        <v>340</v>
      </c>
      <c r="G9" s="20" t="s">
        <v>88</v>
      </c>
      <c r="H9" s="20" t="s">
        <v>102</v>
      </c>
      <c r="I9" s="20" t="s">
        <v>166</v>
      </c>
      <c r="J9" s="22"/>
      <c r="K9" s="23" t="str">
        <f aca="false">"87,5"</f>
        <v>87,5</v>
      </c>
      <c r="L9" s="23" t="str">
        <f aca="false">"78,0981"</f>
        <v>78,0981</v>
      </c>
      <c r="M9" s="23"/>
    </row>
    <row r="10" customFormat="false" ht="13.2" hidden="false" customHeight="false" outlineLevel="0" collapsed="false">
      <c r="A10" s="24" t="s">
        <v>493</v>
      </c>
      <c r="B10" s="25" t="s">
        <v>494</v>
      </c>
      <c r="C10" s="25" t="s">
        <v>495</v>
      </c>
      <c r="D10" s="25" t="str">
        <f aca="false">"0,9202"</f>
        <v>0,9202</v>
      </c>
      <c r="E10" s="26" t="s">
        <v>12</v>
      </c>
      <c r="F10" s="26" t="s">
        <v>245</v>
      </c>
      <c r="G10" s="25" t="s">
        <v>408</v>
      </c>
      <c r="H10" s="25" t="s">
        <v>383</v>
      </c>
      <c r="I10" s="25" t="s">
        <v>342</v>
      </c>
      <c r="J10" s="27"/>
      <c r="K10" s="28" t="str">
        <f aca="false">"162,5"</f>
        <v>162,5</v>
      </c>
      <c r="L10" s="28" t="str">
        <f aca="false">"149,5325"</f>
        <v>149,5325</v>
      </c>
      <c r="M10" s="28"/>
    </row>
    <row r="12" customFormat="false" ht="15.6" hidden="false" customHeight="false" outlineLevel="0" collapsed="false">
      <c r="A12" s="18" t="s">
        <v>98</v>
      </c>
      <c r="B12" s="18"/>
      <c r="C12" s="18"/>
      <c r="D12" s="18"/>
      <c r="E12" s="18"/>
      <c r="F12" s="18"/>
      <c r="G12" s="18"/>
      <c r="H12" s="18"/>
      <c r="I12" s="18"/>
      <c r="J12" s="18"/>
    </row>
    <row r="13" customFormat="false" ht="13.2" hidden="false" customHeight="false" outlineLevel="0" collapsed="false">
      <c r="A13" s="14" t="s">
        <v>496</v>
      </c>
      <c r="B13" s="15" t="s">
        <v>497</v>
      </c>
      <c r="C13" s="15" t="s">
        <v>498</v>
      </c>
      <c r="D13" s="15" t="str">
        <f aca="false">"0,6540"</f>
        <v>0,6540</v>
      </c>
      <c r="E13" s="16" t="s">
        <v>12</v>
      </c>
      <c r="F13" s="16" t="s">
        <v>29</v>
      </c>
      <c r="G13" s="15" t="s">
        <v>354</v>
      </c>
      <c r="H13" s="15" t="s">
        <v>430</v>
      </c>
      <c r="I13" s="17" t="s">
        <v>499</v>
      </c>
      <c r="J13" s="17"/>
      <c r="K13" s="29" t="str">
        <f aca="false">"200,0"</f>
        <v>200,0</v>
      </c>
      <c r="L13" s="29" t="str">
        <f aca="false">"130,8000"</f>
        <v>130,8000</v>
      </c>
      <c r="M13" s="29"/>
    </row>
    <row r="15" customFormat="false" ht="15.6" hidden="false" customHeight="false" outlineLevel="0" collapsed="false">
      <c r="A15" s="18" t="s">
        <v>8</v>
      </c>
      <c r="B15" s="18"/>
      <c r="C15" s="18"/>
      <c r="D15" s="18"/>
      <c r="E15" s="18"/>
      <c r="F15" s="18"/>
      <c r="G15" s="18"/>
      <c r="H15" s="18"/>
      <c r="I15" s="18"/>
      <c r="J15" s="18"/>
    </row>
    <row r="16" customFormat="false" ht="13.2" hidden="false" customHeight="false" outlineLevel="0" collapsed="false">
      <c r="A16" s="19" t="s">
        <v>162</v>
      </c>
      <c r="B16" s="20" t="s">
        <v>500</v>
      </c>
      <c r="C16" s="20" t="s">
        <v>164</v>
      </c>
      <c r="D16" s="20" t="str">
        <f aca="false">"0,6230"</f>
        <v>0,6230</v>
      </c>
      <c r="E16" s="21" t="s">
        <v>12</v>
      </c>
      <c r="F16" s="21" t="s">
        <v>165</v>
      </c>
      <c r="G16" s="20" t="s">
        <v>501</v>
      </c>
      <c r="H16" s="20" t="s">
        <v>502</v>
      </c>
      <c r="I16" s="20" t="s">
        <v>503</v>
      </c>
      <c r="J16" s="22"/>
      <c r="K16" s="23" t="str">
        <f aca="false">"250,0"</f>
        <v>250,0</v>
      </c>
      <c r="L16" s="23" t="str">
        <f aca="false">"173,3498"</f>
        <v>173,3498</v>
      </c>
      <c r="M16" s="23"/>
    </row>
    <row r="17" customFormat="false" ht="13.2" hidden="false" customHeight="false" outlineLevel="0" collapsed="false">
      <c r="A17" s="24" t="s">
        <v>504</v>
      </c>
      <c r="B17" s="25" t="s">
        <v>505</v>
      </c>
      <c r="C17" s="25" t="s">
        <v>506</v>
      </c>
      <c r="D17" s="25" t="str">
        <f aca="false">"0,6313"</f>
        <v>0,6313</v>
      </c>
      <c r="E17" s="26" t="s">
        <v>12</v>
      </c>
      <c r="F17" s="26" t="s">
        <v>107</v>
      </c>
      <c r="G17" s="25" t="s">
        <v>354</v>
      </c>
      <c r="H17" s="25" t="s">
        <v>355</v>
      </c>
      <c r="I17" s="25" t="s">
        <v>430</v>
      </c>
      <c r="J17" s="27"/>
      <c r="K17" s="28" t="str">
        <f aca="false">"200,0"</f>
        <v>200,0</v>
      </c>
      <c r="L17" s="28" t="str">
        <f aca="false">"142,6625"</f>
        <v>142,6625</v>
      </c>
      <c r="M17" s="28"/>
    </row>
    <row r="19" customFormat="false" ht="15.6" hidden="false" customHeight="false" outlineLevel="0" collapsed="false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</row>
    <row r="20" customFormat="false" ht="13.2" hidden="false" customHeight="false" outlineLevel="0" collapsed="false">
      <c r="A20" s="14" t="s">
        <v>507</v>
      </c>
      <c r="B20" s="15" t="s">
        <v>508</v>
      </c>
      <c r="C20" s="15" t="s">
        <v>509</v>
      </c>
      <c r="D20" s="15" t="str">
        <f aca="false">"0,5833"</f>
        <v>0,5833</v>
      </c>
      <c r="E20" s="16" t="s">
        <v>12</v>
      </c>
      <c r="F20" s="16" t="s">
        <v>29</v>
      </c>
      <c r="G20" s="15" t="s">
        <v>37</v>
      </c>
      <c r="H20" s="15" t="s">
        <v>43</v>
      </c>
      <c r="I20" s="15" t="s">
        <v>434</v>
      </c>
      <c r="J20" s="17"/>
      <c r="K20" s="29" t="str">
        <f aca="false">"315,0"</f>
        <v>315,0</v>
      </c>
      <c r="L20" s="29" t="str">
        <f aca="false">"183,7395"</f>
        <v>183,7395</v>
      </c>
      <c r="M20" s="29"/>
    </row>
    <row r="22" customFormat="false" ht="15.6" hidden="false" customHeight="false" outlineLevel="0" collapsed="false">
      <c r="A22" s="18" t="s">
        <v>32</v>
      </c>
      <c r="B22" s="18"/>
      <c r="C22" s="18"/>
      <c r="D22" s="18"/>
      <c r="E22" s="18"/>
      <c r="F22" s="18"/>
      <c r="G22" s="18"/>
      <c r="H22" s="18"/>
      <c r="I22" s="18"/>
      <c r="J22" s="18"/>
    </row>
    <row r="23" customFormat="false" ht="13.2" hidden="false" customHeight="false" outlineLevel="0" collapsed="false">
      <c r="A23" s="19" t="s">
        <v>510</v>
      </c>
      <c r="B23" s="20" t="s">
        <v>511</v>
      </c>
      <c r="C23" s="20" t="s">
        <v>512</v>
      </c>
      <c r="D23" s="20" t="str">
        <f aca="false">"0,5718"</f>
        <v>0,5718</v>
      </c>
      <c r="E23" s="21" t="s">
        <v>12</v>
      </c>
      <c r="F23" s="21" t="s">
        <v>513</v>
      </c>
      <c r="G23" s="20" t="s">
        <v>514</v>
      </c>
      <c r="H23" s="20" t="s">
        <v>503</v>
      </c>
      <c r="I23" s="20" t="s">
        <v>515</v>
      </c>
      <c r="J23" s="22"/>
      <c r="K23" s="23" t="str">
        <f aca="false">"262,5"</f>
        <v>262,5</v>
      </c>
      <c r="L23" s="23" t="str">
        <f aca="false">"150,0975"</f>
        <v>150,0975</v>
      </c>
      <c r="M23" s="23"/>
    </row>
    <row r="24" customFormat="false" ht="13.2" hidden="false" customHeight="false" outlineLevel="0" collapsed="false">
      <c r="A24" s="24" t="s">
        <v>516</v>
      </c>
      <c r="B24" s="25" t="s">
        <v>517</v>
      </c>
      <c r="C24" s="25" t="s">
        <v>518</v>
      </c>
      <c r="D24" s="25" t="str">
        <f aca="false">"0,5806"</f>
        <v>0,5806</v>
      </c>
      <c r="E24" s="26" t="s">
        <v>12</v>
      </c>
      <c r="F24" s="26" t="s">
        <v>340</v>
      </c>
      <c r="G24" s="27" t="s">
        <v>343</v>
      </c>
      <c r="H24" s="25" t="s">
        <v>343</v>
      </c>
      <c r="I24" s="27" t="s">
        <v>423</v>
      </c>
      <c r="J24" s="27"/>
      <c r="K24" s="28" t="str">
        <f aca="false">"185,0"</f>
        <v>185,0</v>
      </c>
      <c r="L24" s="28" t="str">
        <f aca="false">"107,4110"</f>
        <v>107,4110</v>
      </c>
      <c r="M24" s="28"/>
    </row>
    <row r="26" customFormat="false" ht="15.6" hidden="false" customHeight="false" outlineLevel="0" collapsed="false">
      <c r="A26" s="18" t="s">
        <v>38</v>
      </c>
      <c r="B26" s="18"/>
      <c r="C26" s="18"/>
      <c r="D26" s="18"/>
      <c r="E26" s="18"/>
      <c r="F26" s="18"/>
      <c r="G26" s="18"/>
      <c r="H26" s="18"/>
      <c r="I26" s="18"/>
      <c r="J26" s="18"/>
    </row>
    <row r="27" customFormat="false" ht="13.2" hidden="false" customHeight="false" outlineLevel="0" collapsed="false">
      <c r="A27" s="14" t="s">
        <v>519</v>
      </c>
      <c r="B27" s="15" t="s">
        <v>520</v>
      </c>
      <c r="C27" s="15" t="s">
        <v>521</v>
      </c>
      <c r="D27" s="15" t="str">
        <f aca="false">"0,5541"</f>
        <v>0,5541</v>
      </c>
      <c r="E27" s="16" t="s">
        <v>12</v>
      </c>
      <c r="F27" s="16" t="s">
        <v>522</v>
      </c>
      <c r="G27" s="15" t="s">
        <v>502</v>
      </c>
      <c r="H27" s="15" t="s">
        <v>523</v>
      </c>
      <c r="I27" s="15" t="s">
        <v>524</v>
      </c>
      <c r="J27" s="17"/>
      <c r="K27" s="29" t="str">
        <f aca="false">"265,0"</f>
        <v>265,0</v>
      </c>
      <c r="L27" s="29" t="str">
        <f aca="false">"173,8701"</f>
        <v>173,8701</v>
      </c>
      <c r="M27" s="29"/>
    </row>
    <row r="29" customFormat="false" ht="15.6" hidden="false" customHeight="false" outlineLevel="0" collapsed="false">
      <c r="A29" s="18" t="s">
        <v>525</v>
      </c>
      <c r="B29" s="18"/>
      <c r="C29" s="18"/>
      <c r="D29" s="18"/>
      <c r="E29" s="18"/>
      <c r="F29" s="18"/>
      <c r="G29" s="18"/>
      <c r="H29" s="18"/>
      <c r="I29" s="18"/>
      <c r="J29" s="18"/>
    </row>
    <row r="30" customFormat="false" ht="13.2" hidden="false" customHeight="false" outlineLevel="0" collapsed="false">
      <c r="A30" s="14" t="s">
        <v>526</v>
      </c>
      <c r="B30" s="15" t="s">
        <v>527</v>
      </c>
      <c r="C30" s="15" t="s">
        <v>528</v>
      </c>
      <c r="D30" s="15" t="str">
        <f aca="false">"0,5444"</f>
        <v>0,5444</v>
      </c>
      <c r="E30" s="16" t="s">
        <v>12</v>
      </c>
      <c r="F30" s="16" t="s">
        <v>29</v>
      </c>
      <c r="G30" s="15" t="s">
        <v>30</v>
      </c>
      <c r="H30" s="15" t="s">
        <v>37</v>
      </c>
      <c r="I30" s="17" t="s">
        <v>43</v>
      </c>
      <c r="J30" s="17"/>
      <c r="K30" s="29" t="str">
        <f aca="false">"290,0"</f>
        <v>290,0</v>
      </c>
      <c r="L30" s="29" t="str">
        <f aca="false">"157,8673"</f>
        <v>157,8673</v>
      </c>
      <c r="M30" s="29"/>
    </row>
    <row r="32" customFormat="false" ht="15" hidden="false" customHeight="false" outlineLevel="0" collapsed="false">
      <c r="E32" s="35" t="s">
        <v>56</v>
      </c>
    </row>
    <row r="33" customFormat="false" ht="15" hidden="false" customHeight="false" outlineLevel="0" collapsed="false">
      <c r="E33" s="35" t="s">
        <v>57</v>
      </c>
    </row>
    <row r="34" customFormat="false" ht="15" hidden="false" customHeight="false" outlineLevel="0" collapsed="false">
      <c r="E34" s="35" t="s">
        <v>58</v>
      </c>
    </row>
    <row r="35" customFormat="false" ht="13.2" hidden="false" customHeight="false" outlineLevel="0" collapsed="false">
      <c r="E35" s="3" t="s">
        <v>59</v>
      </c>
    </row>
    <row r="36" customFormat="false" ht="13.2" hidden="false" customHeight="false" outlineLevel="0" collapsed="false">
      <c r="E36" s="3" t="s">
        <v>60</v>
      </c>
    </row>
    <row r="37" customFormat="false" ht="13.2" hidden="false" customHeight="false" outlineLevel="0" collapsed="false">
      <c r="E37" s="3" t="s">
        <v>61</v>
      </c>
    </row>
    <row r="40" customFormat="false" ht="17.4" hidden="false" customHeight="false" outlineLevel="0" collapsed="false">
      <c r="A40" s="36" t="s">
        <v>62</v>
      </c>
      <c r="B40" s="37"/>
    </row>
    <row r="41" customFormat="false" ht="15.6" hidden="false" customHeight="false" outlineLevel="0" collapsed="false">
      <c r="A41" s="38" t="s">
        <v>63</v>
      </c>
      <c r="B41" s="18"/>
    </row>
    <row r="42" customFormat="false" ht="14.4" hidden="false" customHeight="false" outlineLevel="0" collapsed="false">
      <c r="A42" s="39"/>
      <c r="B42" s="40" t="s">
        <v>114</v>
      </c>
    </row>
    <row r="43" customFormat="false" ht="13.8" hidden="false" customHeight="false" outlineLevel="0" collapsed="false">
      <c r="A43" s="41" t="s">
        <v>1</v>
      </c>
      <c r="B43" s="41" t="s">
        <v>65</v>
      </c>
      <c r="C43" s="41" t="s">
        <v>66</v>
      </c>
      <c r="D43" s="41" t="s">
        <v>67</v>
      </c>
      <c r="E43" s="41" t="s">
        <v>4</v>
      </c>
    </row>
    <row r="44" customFormat="false" ht="13.2" hidden="false" customHeight="false" outlineLevel="0" collapsed="false">
      <c r="A44" s="42" t="s">
        <v>529</v>
      </c>
      <c r="B44" s="2" t="s">
        <v>530</v>
      </c>
      <c r="C44" s="2" t="s">
        <v>188</v>
      </c>
      <c r="D44" s="2" t="s">
        <v>342</v>
      </c>
      <c r="E44" s="1" t="s">
        <v>531</v>
      </c>
    </row>
    <row r="45" customFormat="false" ht="13.2" hidden="false" customHeight="false" outlineLevel="0" collapsed="false">
      <c r="A45" s="42" t="s">
        <v>532</v>
      </c>
      <c r="B45" s="2" t="s">
        <v>533</v>
      </c>
      <c r="C45" s="2" t="s">
        <v>184</v>
      </c>
      <c r="D45" s="2" t="s">
        <v>487</v>
      </c>
      <c r="E45" s="1" t="s">
        <v>534</v>
      </c>
    </row>
    <row r="46" customFormat="false" ht="13.2" hidden="false" customHeight="false" outlineLevel="0" collapsed="false">
      <c r="A46" s="42" t="s">
        <v>535</v>
      </c>
      <c r="B46" s="2" t="s">
        <v>533</v>
      </c>
      <c r="C46" s="2" t="s">
        <v>188</v>
      </c>
      <c r="D46" s="2" t="s">
        <v>166</v>
      </c>
      <c r="E46" s="1" t="s">
        <v>536</v>
      </c>
    </row>
    <row r="48" customFormat="false" ht="14.4" hidden="false" customHeight="false" outlineLevel="0" collapsed="false">
      <c r="A48" s="39"/>
      <c r="B48" s="40" t="s">
        <v>64</v>
      </c>
    </row>
    <row r="49" customFormat="false" ht="13.8" hidden="false" customHeight="false" outlineLevel="0" collapsed="false">
      <c r="A49" s="41" t="s">
        <v>1</v>
      </c>
      <c r="B49" s="41" t="s">
        <v>65</v>
      </c>
      <c r="C49" s="41" t="s">
        <v>66</v>
      </c>
      <c r="D49" s="41" t="s">
        <v>67</v>
      </c>
      <c r="E49" s="41" t="s">
        <v>4</v>
      </c>
    </row>
    <row r="50" customFormat="false" ht="13.2" hidden="false" customHeight="false" outlineLevel="0" collapsed="false">
      <c r="A50" s="42" t="s">
        <v>537</v>
      </c>
      <c r="B50" s="2" t="s">
        <v>64</v>
      </c>
      <c r="C50" s="2" t="s">
        <v>77</v>
      </c>
      <c r="D50" s="2" t="s">
        <v>434</v>
      </c>
      <c r="E50" s="1" t="s">
        <v>538</v>
      </c>
    </row>
    <row r="51" customFormat="false" ht="13.2" hidden="false" customHeight="false" outlineLevel="0" collapsed="false">
      <c r="A51" s="42" t="s">
        <v>539</v>
      </c>
      <c r="B51" s="2" t="s">
        <v>64</v>
      </c>
      <c r="C51" s="2" t="s">
        <v>540</v>
      </c>
      <c r="D51" s="2" t="s">
        <v>37</v>
      </c>
      <c r="E51" s="1" t="s">
        <v>541</v>
      </c>
    </row>
    <row r="52" customFormat="false" ht="13.2" hidden="false" customHeight="false" outlineLevel="0" collapsed="false">
      <c r="A52" s="42" t="s">
        <v>542</v>
      </c>
      <c r="B52" s="2" t="s">
        <v>64</v>
      </c>
      <c r="C52" s="2" t="s">
        <v>195</v>
      </c>
      <c r="D52" s="2" t="s">
        <v>515</v>
      </c>
      <c r="E52" s="1" t="s">
        <v>543</v>
      </c>
    </row>
    <row r="53" customFormat="false" ht="13.2" hidden="false" customHeight="false" outlineLevel="0" collapsed="false">
      <c r="A53" s="42" t="s">
        <v>544</v>
      </c>
      <c r="B53" s="2" t="s">
        <v>64</v>
      </c>
      <c r="C53" s="2" t="s">
        <v>120</v>
      </c>
      <c r="D53" s="2" t="s">
        <v>430</v>
      </c>
      <c r="E53" s="1" t="s">
        <v>545</v>
      </c>
    </row>
    <row r="54" customFormat="false" ht="13.2" hidden="false" customHeight="false" outlineLevel="0" collapsed="false">
      <c r="A54" s="42" t="s">
        <v>546</v>
      </c>
      <c r="B54" s="2" t="s">
        <v>64</v>
      </c>
      <c r="C54" s="2" t="s">
        <v>195</v>
      </c>
      <c r="D54" s="2" t="s">
        <v>343</v>
      </c>
      <c r="E54" s="1" t="s">
        <v>547</v>
      </c>
    </row>
    <row r="56" customFormat="false" ht="14.4" hidden="false" customHeight="false" outlineLevel="0" collapsed="false">
      <c r="A56" s="39"/>
      <c r="B56" s="40" t="s">
        <v>130</v>
      </c>
    </row>
    <row r="57" customFormat="false" ht="13.8" hidden="false" customHeight="false" outlineLevel="0" collapsed="false">
      <c r="A57" s="41" t="s">
        <v>1</v>
      </c>
      <c r="B57" s="41" t="s">
        <v>65</v>
      </c>
      <c r="C57" s="41" t="s">
        <v>66</v>
      </c>
      <c r="D57" s="41" t="s">
        <v>67</v>
      </c>
      <c r="E57" s="41" t="s">
        <v>4</v>
      </c>
    </row>
    <row r="58" customFormat="false" ht="13.2" hidden="false" customHeight="false" outlineLevel="0" collapsed="false">
      <c r="A58" s="42" t="s">
        <v>548</v>
      </c>
      <c r="B58" s="2" t="s">
        <v>549</v>
      </c>
      <c r="C58" s="2" t="s">
        <v>72</v>
      </c>
      <c r="D58" s="2" t="s">
        <v>524</v>
      </c>
      <c r="E58" s="1" t="s">
        <v>550</v>
      </c>
    </row>
    <row r="59" customFormat="false" ht="13.2" hidden="false" customHeight="false" outlineLevel="0" collapsed="false">
      <c r="A59" s="42" t="s">
        <v>203</v>
      </c>
      <c r="B59" s="2" t="s">
        <v>551</v>
      </c>
      <c r="C59" s="2" t="s">
        <v>69</v>
      </c>
      <c r="D59" s="2" t="s">
        <v>503</v>
      </c>
      <c r="E59" s="1" t="s">
        <v>552</v>
      </c>
    </row>
    <row r="60" customFormat="false" ht="13.2" hidden="false" customHeight="false" outlineLevel="0" collapsed="false">
      <c r="A60" s="42" t="s">
        <v>553</v>
      </c>
      <c r="B60" s="2" t="s">
        <v>549</v>
      </c>
      <c r="C60" s="2" t="s">
        <v>69</v>
      </c>
      <c r="D60" s="2" t="s">
        <v>430</v>
      </c>
      <c r="E60" s="1" t="s">
        <v>554</v>
      </c>
    </row>
  </sheetData>
  <mergeCells count="16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2:J12"/>
    <mergeCell ref="A15:J15"/>
    <mergeCell ref="A19:J19"/>
    <mergeCell ref="A22:J22"/>
    <mergeCell ref="A26:J26"/>
    <mergeCell ref="A29:J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1" min="11" style="4" width="8"/>
    <col collapsed="false" customWidth="true" hidden="false" outlineLevel="0" max="12" min="12" style="4" width="10.99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555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/>
      <c r="H3" s="10"/>
      <c r="I3" s="10"/>
      <c r="J3" s="10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5</v>
      </c>
      <c r="H4" s="12" t="n">
        <v>6</v>
      </c>
      <c r="I4" s="12" t="n">
        <v>7</v>
      </c>
      <c r="J4" s="12" t="n">
        <v>8</v>
      </c>
    </row>
    <row r="5" s="2" customFormat="true" ht="15.6" hidden="false" customHeight="false" outlineLevel="0" collapsed="false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9" t="s">
        <v>556</v>
      </c>
      <c r="B6" s="20" t="s">
        <v>557</v>
      </c>
      <c r="C6" s="20" t="s">
        <v>558</v>
      </c>
      <c r="D6" s="20" t="str">
        <f aca="false">"0,6157"</f>
        <v>0,6157</v>
      </c>
      <c r="E6" s="21" t="s">
        <v>12</v>
      </c>
      <c r="F6" s="21" t="s">
        <v>382</v>
      </c>
      <c r="G6" s="20" t="s">
        <v>559</v>
      </c>
      <c r="H6" s="22" t="s">
        <v>360</v>
      </c>
      <c r="I6" s="22" t="s">
        <v>360</v>
      </c>
      <c r="J6" s="22"/>
      <c r="K6" s="20" t="s">
        <v>560</v>
      </c>
      <c r="L6" s="20" t="s">
        <v>561</v>
      </c>
      <c r="M6" s="20"/>
    </row>
    <row r="7" s="2" customFormat="true" ht="13.2" hidden="false" customHeight="false" outlineLevel="0" collapsed="false">
      <c r="A7" s="24" t="s">
        <v>562</v>
      </c>
      <c r="B7" s="25" t="s">
        <v>563</v>
      </c>
      <c r="C7" s="25" t="s">
        <v>564</v>
      </c>
      <c r="D7" s="25" t="str">
        <f aca="false">"0,6141"</f>
        <v>0,6141</v>
      </c>
      <c r="E7" s="26" t="s">
        <v>12</v>
      </c>
      <c r="F7" s="26" t="s">
        <v>29</v>
      </c>
      <c r="G7" s="27" t="s">
        <v>402</v>
      </c>
      <c r="H7" s="27" t="s">
        <v>402</v>
      </c>
      <c r="I7" s="25" t="s">
        <v>402</v>
      </c>
      <c r="J7" s="27"/>
      <c r="K7" s="25" t="s">
        <v>565</v>
      </c>
      <c r="L7" s="25" t="s">
        <v>566</v>
      </c>
      <c r="M7" s="25"/>
    </row>
    <row r="9" customFormat="false" ht="15.6" hidden="false" customHeight="false" outlineLevel="0" collapsed="false">
      <c r="A9" s="18" t="s">
        <v>32</v>
      </c>
      <c r="B9" s="18"/>
      <c r="C9" s="18"/>
      <c r="D9" s="18"/>
      <c r="E9" s="18"/>
      <c r="F9" s="18"/>
      <c r="G9" s="18"/>
      <c r="H9" s="18"/>
      <c r="I9" s="18"/>
      <c r="J9" s="18"/>
    </row>
    <row r="10" customFormat="false" ht="13.2" hidden="false" customHeight="false" outlineLevel="0" collapsed="false">
      <c r="A10" s="19" t="s">
        <v>567</v>
      </c>
      <c r="B10" s="20" t="s">
        <v>568</v>
      </c>
      <c r="C10" s="20" t="s">
        <v>569</v>
      </c>
      <c r="D10" s="20" t="str">
        <f aca="false">"0,5727"</f>
        <v>0,5727</v>
      </c>
      <c r="E10" s="21" t="s">
        <v>140</v>
      </c>
      <c r="F10" s="21" t="s">
        <v>29</v>
      </c>
      <c r="G10" s="20" t="s">
        <v>15</v>
      </c>
      <c r="H10" s="20" t="s">
        <v>42</v>
      </c>
      <c r="I10" s="20" t="s">
        <v>43</v>
      </c>
      <c r="J10" s="22"/>
      <c r="K10" s="23" t="str">
        <f aca="false">"310,0"</f>
        <v>310,0</v>
      </c>
      <c r="L10" s="23" t="str">
        <f aca="false">"177,5525"</f>
        <v>177,5525</v>
      </c>
      <c r="M10" s="23"/>
    </row>
    <row r="11" customFormat="false" ht="13.2" hidden="false" customHeight="false" outlineLevel="0" collapsed="false">
      <c r="A11" s="30" t="s">
        <v>570</v>
      </c>
      <c r="B11" s="31" t="s">
        <v>571</v>
      </c>
      <c r="C11" s="31" t="s">
        <v>572</v>
      </c>
      <c r="D11" s="31" t="str">
        <f aca="false">"0,5692"</f>
        <v>0,5692</v>
      </c>
      <c r="E11" s="32" t="s">
        <v>12</v>
      </c>
      <c r="F11" s="32" t="s">
        <v>573</v>
      </c>
      <c r="G11" s="31" t="s">
        <v>430</v>
      </c>
      <c r="H11" s="31" t="s">
        <v>499</v>
      </c>
      <c r="I11" s="33" t="s">
        <v>360</v>
      </c>
      <c r="J11" s="33"/>
      <c r="K11" s="34" t="str">
        <f aca="false">"222,5"</f>
        <v>222,5</v>
      </c>
      <c r="L11" s="34" t="str">
        <f aca="false">"126,6470"</f>
        <v>126,6470</v>
      </c>
      <c r="M11" s="34"/>
    </row>
    <row r="12" customFormat="false" ht="13.2" hidden="false" customHeight="false" outlineLevel="0" collapsed="false">
      <c r="A12" s="24" t="s">
        <v>574</v>
      </c>
      <c r="B12" s="25" t="s">
        <v>575</v>
      </c>
      <c r="C12" s="25" t="s">
        <v>576</v>
      </c>
      <c r="D12" s="25" t="str">
        <f aca="false">"0,5655"</f>
        <v>0,5655</v>
      </c>
      <c r="E12" s="26" t="s">
        <v>12</v>
      </c>
      <c r="F12" s="26" t="s">
        <v>29</v>
      </c>
      <c r="G12" s="27" t="s">
        <v>355</v>
      </c>
      <c r="H12" s="25" t="s">
        <v>355</v>
      </c>
      <c r="I12" s="27" t="s">
        <v>577</v>
      </c>
      <c r="J12" s="27"/>
      <c r="K12" s="28" t="str">
        <f aca="false">"190,0"</f>
        <v>190,0</v>
      </c>
      <c r="L12" s="28" t="str">
        <f aca="false">"121,4129"</f>
        <v>121,4129</v>
      </c>
      <c r="M12" s="28"/>
    </row>
    <row r="14" customFormat="false" ht="15" hidden="false" customHeight="false" outlineLevel="0" collapsed="false">
      <c r="E14" s="35" t="s">
        <v>56</v>
      </c>
    </row>
    <row r="15" customFormat="false" ht="15" hidden="false" customHeight="false" outlineLevel="0" collapsed="false">
      <c r="E15" s="35" t="s">
        <v>57</v>
      </c>
    </row>
    <row r="16" customFormat="false" ht="15" hidden="false" customHeight="false" outlineLevel="0" collapsed="false">
      <c r="E16" s="35" t="s">
        <v>58</v>
      </c>
    </row>
    <row r="17" customFormat="false" ht="13.2" hidden="false" customHeight="false" outlineLevel="0" collapsed="false">
      <c r="E17" s="3" t="s">
        <v>59</v>
      </c>
    </row>
    <row r="18" customFormat="false" ht="13.2" hidden="false" customHeight="false" outlineLevel="0" collapsed="false">
      <c r="E18" s="3" t="s">
        <v>60</v>
      </c>
    </row>
    <row r="19" customFormat="false" ht="13.2" hidden="false" customHeight="false" outlineLevel="0" collapsed="false">
      <c r="E19" s="3" t="s">
        <v>61</v>
      </c>
    </row>
    <row r="22" customFormat="false" ht="17.4" hidden="false" customHeight="false" outlineLevel="0" collapsed="false">
      <c r="A22" s="36" t="s">
        <v>62</v>
      </c>
      <c r="B22" s="37"/>
    </row>
    <row r="23" customFormat="false" ht="15.6" hidden="false" customHeight="false" outlineLevel="0" collapsed="false">
      <c r="A23" s="38" t="s">
        <v>63</v>
      </c>
      <c r="B23" s="18"/>
    </row>
    <row r="24" customFormat="false" ht="14.4" hidden="false" customHeight="false" outlineLevel="0" collapsed="false">
      <c r="A24" s="39"/>
      <c r="B24" s="40" t="s">
        <v>64</v>
      </c>
    </row>
    <row r="25" customFormat="false" ht="13.8" hidden="false" customHeight="false" outlineLevel="0" collapsed="false">
      <c r="A25" s="41" t="s">
        <v>1</v>
      </c>
      <c r="B25" s="41" t="s">
        <v>65</v>
      </c>
      <c r="C25" s="41" t="s">
        <v>66</v>
      </c>
      <c r="D25" s="41" t="s">
        <v>67</v>
      </c>
      <c r="E25" s="41" t="s">
        <v>4</v>
      </c>
    </row>
    <row r="26" customFormat="false" ht="13.2" hidden="false" customHeight="false" outlineLevel="0" collapsed="false">
      <c r="A26" s="42" t="s">
        <v>578</v>
      </c>
      <c r="B26" s="2" t="s">
        <v>64</v>
      </c>
      <c r="C26" s="2" t="s">
        <v>195</v>
      </c>
      <c r="D26" s="2" t="s">
        <v>43</v>
      </c>
      <c r="E26" s="1" t="s">
        <v>579</v>
      </c>
    </row>
    <row r="27" customFormat="false" ht="13.2" hidden="false" customHeight="false" outlineLevel="0" collapsed="false">
      <c r="A27" s="42" t="s">
        <v>580</v>
      </c>
      <c r="B27" s="2" t="s">
        <v>64</v>
      </c>
      <c r="C27" s="2" t="s">
        <v>69</v>
      </c>
      <c r="D27" s="2" t="s">
        <v>559</v>
      </c>
      <c r="E27" s="1" t="s">
        <v>581</v>
      </c>
    </row>
    <row r="28" customFormat="false" ht="13.2" hidden="false" customHeight="false" outlineLevel="0" collapsed="false">
      <c r="A28" s="42" t="s">
        <v>582</v>
      </c>
      <c r="B28" s="2" t="s">
        <v>64</v>
      </c>
      <c r="C28" s="2" t="s">
        <v>195</v>
      </c>
      <c r="D28" s="2" t="s">
        <v>499</v>
      </c>
      <c r="E28" s="1" t="s">
        <v>583</v>
      </c>
    </row>
    <row r="30" customFormat="false" ht="14.4" hidden="false" customHeight="false" outlineLevel="0" collapsed="false">
      <c r="A30" s="39"/>
      <c r="B30" s="40" t="s">
        <v>130</v>
      </c>
    </row>
    <row r="31" customFormat="false" ht="13.8" hidden="false" customHeight="false" outlineLevel="0" collapsed="false">
      <c r="A31" s="41" t="s">
        <v>1</v>
      </c>
      <c r="B31" s="41" t="s">
        <v>65</v>
      </c>
      <c r="C31" s="41" t="s">
        <v>66</v>
      </c>
      <c r="D31" s="41" t="s">
        <v>67</v>
      </c>
      <c r="E31" s="41" t="s">
        <v>4</v>
      </c>
    </row>
    <row r="32" customFormat="false" ht="13.2" hidden="false" customHeight="false" outlineLevel="0" collapsed="false">
      <c r="A32" s="42" t="s">
        <v>584</v>
      </c>
      <c r="B32" s="2" t="s">
        <v>472</v>
      </c>
      <c r="C32" s="2" t="s">
        <v>69</v>
      </c>
      <c r="D32" s="2" t="s">
        <v>402</v>
      </c>
      <c r="E32" s="1" t="s">
        <v>585</v>
      </c>
    </row>
    <row r="33" customFormat="false" ht="13.2" hidden="false" customHeight="false" outlineLevel="0" collapsed="false">
      <c r="A33" s="42" t="s">
        <v>586</v>
      </c>
      <c r="B33" s="2" t="s">
        <v>549</v>
      </c>
      <c r="C33" s="2" t="s">
        <v>195</v>
      </c>
      <c r="D33" s="2" t="s">
        <v>355</v>
      </c>
      <c r="E33" s="1" t="s">
        <v>587</v>
      </c>
    </row>
  </sheetData>
  <mergeCells count="10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9:J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19.12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7.21"/>
    <col collapsed="false" customWidth="true" hidden="false" outlineLevel="0" max="7" min="7" style="2" width="4.56"/>
    <col collapsed="false" customWidth="true" hidden="false" outlineLevel="0" max="9" min="8" style="2" width="5.55"/>
    <col collapsed="false" customWidth="true" hidden="false" outlineLevel="0" max="10" min="10" style="2" width="2.12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588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/>
      <c r="H3" s="10"/>
      <c r="I3" s="10"/>
      <c r="J3" s="10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5</v>
      </c>
      <c r="H4" s="12" t="n">
        <v>6</v>
      </c>
      <c r="I4" s="12" t="n">
        <v>7</v>
      </c>
      <c r="J4" s="12" t="n">
        <v>8</v>
      </c>
    </row>
    <row r="5" s="2" customFormat="true" ht="15.6" hidden="false" customHeight="false" outlineLevel="0" collapsed="false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589</v>
      </c>
      <c r="B6" s="15" t="s">
        <v>590</v>
      </c>
      <c r="C6" s="15" t="s">
        <v>591</v>
      </c>
      <c r="D6" s="15" t="str">
        <f aca="false">"0,6188"</f>
        <v>0,6188</v>
      </c>
      <c r="E6" s="16" t="s">
        <v>12</v>
      </c>
      <c r="F6" s="16" t="s">
        <v>29</v>
      </c>
      <c r="G6" s="15" t="s">
        <v>108</v>
      </c>
      <c r="H6" s="15" t="s">
        <v>592</v>
      </c>
      <c r="I6" s="17" t="s">
        <v>176</v>
      </c>
      <c r="J6" s="17"/>
      <c r="K6" s="15" t="s">
        <v>593</v>
      </c>
      <c r="L6" s="15" t="s">
        <v>594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525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4" t="s">
        <v>595</v>
      </c>
      <c r="B9" s="15" t="s">
        <v>596</v>
      </c>
      <c r="C9" s="15" t="s">
        <v>597</v>
      </c>
      <c r="D9" s="15" t="str">
        <f aca="false">"0,5413"</f>
        <v>0,5413</v>
      </c>
      <c r="E9" s="16" t="s">
        <v>12</v>
      </c>
      <c r="F9" s="16" t="s">
        <v>598</v>
      </c>
      <c r="G9" s="15" t="s">
        <v>487</v>
      </c>
      <c r="H9" s="15" t="s">
        <v>170</v>
      </c>
      <c r="I9" s="17" t="s">
        <v>390</v>
      </c>
      <c r="J9" s="17"/>
      <c r="K9" s="29" t="str">
        <f aca="false">"100,0"</f>
        <v>100,0</v>
      </c>
      <c r="L9" s="29" t="str">
        <f aca="false">"54,1320"</f>
        <v>54,1320</v>
      </c>
      <c r="M9" s="29"/>
    </row>
    <row r="11" customFormat="false" ht="15" hidden="false" customHeight="false" outlineLevel="0" collapsed="false">
      <c r="E11" s="35" t="s">
        <v>56</v>
      </c>
    </row>
    <row r="12" customFormat="false" ht="15" hidden="false" customHeight="false" outlineLevel="0" collapsed="false">
      <c r="E12" s="35" t="s">
        <v>57</v>
      </c>
    </row>
    <row r="13" customFormat="false" ht="15" hidden="false" customHeight="false" outlineLevel="0" collapsed="false">
      <c r="E13" s="35" t="s">
        <v>58</v>
      </c>
    </row>
    <row r="14" customFormat="false" ht="13.2" hidden="false" customHeight="false" outlineLevel="0" collapsed="false">
      <c r="E14" s="3" t="s">
        <v>59</v>
      </c>
    </row>
    <row r="15" customFormat="false" ht="13.2" hidden="false" customHeight="false" outlineLevel="0" collapsed="false">
      <c r="E15" s="3" t="s">
        <v>60</v>
      </c>
    </row>
    <row r="16" customFormat="false" ht="13.2" hidden="false" customHeight="false" outlineLevel="0" collapsed="false">
      <c r="E16" s="3" t="s">
        <v>61</v>
      </c>
    </row>
    <row r="19" customFormat="false" ht="17.4" hidden="false" customHeight="false" outlineLevel="0" collapsed="false">
      <c r="A19" s="36" t="s">
        <v>62</v>
      </c>
      <c r="B19" s="37"/>
    </row>
    <row r="20" customFormat="false" ht="15.6" hidden="false" customHeight="false" outlineLevel="0" collapsed="false">
      <c r="A20" s="38" t="s">
        <v>63</v>
      </c>
      <c r="B20" s="18"/>
    </row>
    <row r="21" customFormat="false" ht="14.4" hidden="false" customHeight="false" outlineLevel="0" collapsed="false">
      <c r="A21" s="39"/>
      <c r="B21" s="40" t="s">
        <v>64</v>
      </c>
    </row>
    <row r="22" customFormat="false" ht="13.8" hidden="false" customHeight="false" outlineLevel="0" collapsed="false">
      <c r="A22" s="41" t="s">
        <v>1</v>
      </c>
      <c r="B22" s="41" t="s">
        <v>65</v>
      </c>
      <c r="C22" s="41" t="s">
        <v>66</v>
      </c>
      <c r="D22" s="41" t="s">
        <v>67</v>
      </c>
      <c r="E22" s="41" t="s">
        <v>4</v>
      </c>
    </row>
    <row r="23" customFormat="false" ht="13.2" hidden="false" customHeight="false" outlineLevel="0" collapsed="false">
      <c r="A23" s="42" t="s">
        <v>599</v>
      </c>
      <c r="B23" s="2" t="s">
        <v>64</v>
      </c>
      <c r="C23" s="2" t="s">
        <v>69</v>
      </c>
      <c r="D23" s="2" t="s">
        <v>592</v>
      </c>
      <c r="E23" s="1" t="s">
        <v>600</v>
      </c>
    </row>
    <row r="24" customFormat="false" ht="13.2" hidden="false" customHeight="false" outlineLevel="0" collapsed="false">
      <c r="A24" s="42" t="s">
        <v>601</v>
      </c>
      <c r="B24" s="2" t="s">
        <v>64</v>
      </c>
      <c r="C24" s="2" t="s">
        <v>540</v>
      </c>
      <c r="D24" s="2" t="s">
        <v>170</v>
      </c>
      <c r="E24" s="1" t="s">
        <v>602</v>
      </c>
    </row>
  </sheetData>
  <mergeCells count="10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9.45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true" hidden="false" outlineLevel="0" max="13" min="13" style="4" width="21.44"/>
    <col collapsed="false" customWidth="false" hidden="false" outlineLevel="0" max="1024" min="14" style="4" width="9.13"/>
  </cols>
  <sheetData>
    <row r="1" customFormat="false" ht="28.95" hidden="false" customHeight="true" outlineLevel="0" collapsed="false">
      <c r="A1" s="5" t="s">
        <v>603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/>
      <c r="H3" s="10"/>
      <c r="I3" s="10"/>
      <c r="J3" s="10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5</v>
      </c>
      <c r="H4" s="12" t="n">
        <v>6</v>
      </c>
      <c r="I4" s="12" t="n">
        <v>7</v>
      </c>
      <c r="J4" s="12" t="n">
        <v>8</v>
      </c>
    </row>
    <row r="5" s="2" customFormat="true" ht="15.6" hidden="false" customHeight="false" outlineLevel="0" collapsed="false">
      <c r="A5" s="13" t="s">
        <v>371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9" t="s">
        <v>372</v>
      </c>
      <c r="B6" s="20" t="s">
        <v>373</v>
      </c>
      <c r="C6" s="20" t="s">
        <v>374</v>
      </c>
      <c r="D6" s="20" t="str">
        <f aca="false">"1,2019"</f>
        <v>1,2019</v>
      </c>
      <c r="E6" s="21" t="s">
        <v>12</v>
      </c>
      <c r="F6" s="21" t="s">
        <v>375</v>
      </c>
      <c r="G6" s="20" t="s">
        <v>141</v>
      </c>
      <c r="H6" s="20" t="s">
        <v>149</v>
      </c>
      <c r="I6" s="20" t="s">
        <v>284</v>
      </c>
      <c r="J6" s="22"/>
      <c r="K6" s="20" t="s">
        <v>604</v>
      </c>
      <c r="L6" s="20" t="s">
        <v>605</v>
      </c>
      <c r="M6" s="20"/>
    </row>
    <row r="7" s="2" customFormat="true" ht="13.2" hidden="false" customHeight="false" outlineLevel="0" collapsed="false">
      <c r="A7" s="24" t="s">
        <v>606</v>
      </c>
      <c r="B7" s="25" t="s">
        <v>607</v>
      </c>
      <c r="C7" s="25" t="s">
        <v>608</v>
      </c>
      <c r="D7" s="25" t="str">
        <f aca="false">"1,1922"</f>
        <v>1,1922</v>
      </c>
      <c r="E7" s="26" t="s">
        <v>87</v>
      </c>
      <c r="F7" s="26" t="s">
        <v>29</v>
      </c>
      <c r="G7" s="25" t="s">
        <v>284</v>
      </c>
      <c r="H7" s="27" t="s">
        <v>230</v>
      </c>
      <c r="I7" s="27" t="s">
        <v>230</v>
      </c>
      <c r="J7" s="27"/>
      <c r="K7" s="25" t="s">
        <v>604</v>
      </c>
      <c r="L7" s="25" t="s">
        <v>609</v>
      </c>
      <c r="M7" s="25"/>
    </row>
    <row r="9" customFormat="false" ht="15.6" hidden="false" customHeight="false" outlineLevel="0" collapsed="false">
      <c r="A9" s="18" t="s">
        <v>136</v>
      </c>
      <c r="B9" s="18"/>
      <c r="C9" s="18"/>
      <c r="D9" s="18"/>
      <c r="E9" s="18"/>
      <c r="F9" s="18"/>
      <c r="G9" s="18"/>
      <c r="H9" s="18"/>
      <c r="I9" s="18"/>
      <c r="J9" s="18"/>
    </row>
    <row r="10" customFormat="false" ht="13.2" hidden="false" customHeight="false" outlineLevel="0" collapsed="false">
      <c r="A10" s="14" t="s">
        <v>610</v>
      </c>
      <c r="B10" s="15" t="s">
        <v>611</v>
      </c>
      <c r="C10" s="15" t="s">
        <v>612</v>
      </c>
      <c r="D10" s="15" t="str">
        <f aca="false">"1,1495"</f>
        <v>1,1495</v>
      </c>
      <c r="E10" s="16" t="s">
        <v>12</v>
      </c>
      <c r="F10" s="16" t="s">
        <v>165</v>
      </c>
      <c r="G10" s="15" t="s">
        <v>284</v>
      </c>
      <c r="H10" s="17" t="s">
        <v>230</v>
      </c>
      <c r="I10" s="17" t="s">
        <v>230</v>
      </c>
      <c r="J10" s="17"/>
      <c r="K10" s="29" t="str">
        <f aca="false">"57,5"</f>
        <v>57,5</v>
      </c>
      <c r="L10" s="29" t="str">
        <f aca="false">"66,0963"</f>
        <v>66,0963</v>
      </c>
      <c r="M10" s="29"/>
    </row>
    <row r="12" customFormat="false" ht="15.6" hidden="false" customHeight="false" outlineLevel="0" collapsed="false">
      <c r="A12" s="18" t="s">
        <v>145</v>
      </c>
      <c r="B12" s="18"/>
      <c r="C12" s="18"/>
      <c r="D12" s="18"/>
      <c r="E12" s="18"/>
      <c r="F12" s="18"/>
      <c r="G12" s="18"/>
      <c r="H12" s="18"/>
      <c r="I12" s="18"/>
      <c r="J12" s="18"/>
    </row>
    <row r="13" customFormat="false" ht="13.2" hidden="false" customHeight="false" outlineLevel="0" collapsed="false">
      <c r="A13" s="19" t="s">
        <v>613</v>
      </c>
      <c r="B13" s="20" t="s">
        <v>614</v>
      </c>
      <c r="C13" s="20" t="s">
        <v>615</v>
      </c>
      <c r="D13" s="20" t="str">
        <f aca="false">"1,0910"</f>
        <v>1,0910</v>
      </c>
      <c r="E13" s="21" t="s">
        <v>12</v>
      </c>
      <c r="F13" s="21" t="s">
        <v>29</v>
      </c>
      <c r="G13" s="20" t="s">
        <v>230</v>
      </c>
      <c r="H13" s="20" t="s">
        <v>285</v>
      </c>
      <c r="I13" s="22" t="s">
        <v>236</v>
      </c>
      <c r="J13" s="22"/>
      <c r="K13" s="23" t="str">
        <f aca="false">"62,5"</f>
        <v>62,5</v>
      </c>
      <c r="L13" s="23" t="str">
        <f aca="false">"68,1875"</f>
        <v>68,1875</v>
      </c>
      <c r="M13" s="23"/>
    </row>
    <row r="14" customFormat="false" ht="13.2" hidden="false" customHeight="false" outlineLevel="0" collapsed="false">
      <c r="A14" s="30" t="s">
        <v>262</v>
      </c>
      <c r="B14" s="31" t="s">
        <v>263</v>
      </c>
      <c r="C14" s="31" t="s">
        <v>264</v>
      </c>
      <c r="D14" s="31" t="str">
        <f aca="false">"1,0454"</f>
        <v>1,0454</v>
      </c>
      <c r="E14" s="32" t="s">
        <v>12</v>
      </c>
      <c r="F14" s="32" t="s">
        <v>29</v>
      </c>
      <c r="G14" s="31" t="s">
        <v>241</v>
      </c>
      <c r="H14" s="31" t="s">
        <v>102</v>
      </c>
      <c r="I14" s="33" t="s">
        <v>108</v>
      </c>
      <c r="J14" s="33"/>
      <c r="K14" s="34" t="str">
        <f aca="false">"82,5"</f>
        <v>82,5</v>
      </c>
      <c r="L14" s="34" t="str">
        <f aca="false">"86,2455"</f>
        <v>86,2455</v>
      </c>
      <c r="M14" s="34"/>
    </row>
    <row r="15" customFormat="false" ht="13.2" hidden="false" customHeight="false" outlineLevel="0" collapsed="false">
      <c r="A15" s="24" t="s">
        <v>616</v>
      </c>
      <c r="B15" s="25" t="s">
        <v>617</v>
      </c>
      <c r="C15" s="25" t="s">
        <v>618</v>
      </c>
      <c r="D15" s="25" t="str">
        <f aca="false">"1,0575"</f>
        <v>1,0575</v>
      </c>
      <c r="E15" s="26" t="s">
        <v>12</v>
      </c>
      <c r="F15" s="26" t="s">
        <v>29</v>
      </c>
      <c r="G15" s="27" t="s">
        <v>284</v>
      </c>
      <c r="H15" s="27"/>
      <c r="I15" s="27"/>
      <c r="J15" s="27"/>
      <c r="K15" s="28" t="str">
        <f aca="false">"0.00"</f>
        <v>0.00</v>
      </c>
      <c r="L15" s="28" t="str">
        <f aca="false">"0,0000"</f>
        <v>0,0000</v>
      </c>
      <c r="M15" s="28"/>
    </row>
    <row r="17" customFormat="false" ht="15.6" hidden="false" customHeight="false" outlineLevel="0" collapsed="false">
      <c r="A17" s="18" t="s">
        <v>211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3.2" hidden="false" customHeight="false" outlineLevel="0" collapsed="false">
      <c r="A18" s="19" t="s">
        <v>619</v>
      </c>
      <c r="B18" s="20" t="s">
        <v>620</v>
      </c>
      <c r="C18" s="20" t="s">
        <v>621</v>
      </c>
      <c r="D18" s="20" t="str">
        <f aca="false">"1,0321"</f>
        <v>1,0321</v>
      </c>
      <c r="E18" s="21" t="s">
        <v>12</v>
      </c>
      <c r="F18" s="21" t="s">
        <v>622</v>
      </c>
      <c r="G18" s="20" t="s">
        <v>149</v>
      </c>
      <c r="H18" s="22" t="s">
        <v>284</v>
      </c>
      <c r="I18" s="22" t="s">
        <v>284</v>
      </c>
      <c r="J18" s="22"/>
      <c r="K18" s="23" t="str">
        <f aca="false">"55,0"</f>
        <v>55,0</v>
      </c>
      <c r="L18" s="23" t="str">
        <f aca="false">"56,7655"</f>
        <v>56,7655</v>
      </c>
      <c r="M18" s="23"/>
    </row>
    <row r="19" customFormat="false" ht="13.2" hidden="false" customHeight="false" outlineLevel="0" collapsed="false">
      <c r="A19" s="24" t="s">
        <v>623</v>
      </c>
      <c r="B19" s="25" t="s">
        <v>624</v>
      </c>
      <c r="C19" s="25" t="s">
        <v>625</v>
      </c>
      <c r="D19" s="25" t="str">
        <f aca="false">"1,0149"</f>
        <v>1,0149</v>
      </c>
      <c r="E19" s="26" t="s">
        <v>12</v>
      </c>
      <c r="F19" s="26" t="s">
        <v>29</v>
      </c>
      <c r="G19" s="25" t="s">
        <v>236</v>
      </c>
      <c r="H19" s="27" t="s">
        <v>155</v>
      </c>
      <c r="I19" s="25" t="s">
        <v>155</v>
      </c>
      <c r="J19" s="27"/>
      <c r="K19" s="28" t="str">
        <f aca="false">"70,0"</f>
        <v>70,0</v>
      </c>
      <c r="L19" s="28" t="str">
        <f aca="false">"71,0430"</f>
        <v>71,0430</v>
      </c>
      <c r="M19" s="28"/>
    </row>
    <row r="21" customFormat="false" ht="15.6" hidden="false" customHeight="false" outlineLevel="0" collapsed="false">
      <c r="A21" s="18" t="s">
        <v>220</v>
      </c>
      <c r="B21" s="18"/>
      <c r="C21" s="18"/>
      <c r="D21" s="18"/>
      <c r="E21" s="18"/>
      <c r="F21" s="18"/>
      <c r="G21" s="18"/>
      <c r="H21" s="18"/>
      <c r="I21" s="18"/>
      <c r="J21" s="18"/>
    </row>
    <row r="22" customFormat="false" ht="13.2" hidden="false" customHeight="false" outlineLevel="0" collapsed="false">
      <c r="A22" s="19" t="s">
        <v>626</v>
      </c>
      <c r="B22" s="20" t="s">
        <v>627</v>
      </c>
      <c r="C22" s="20" t="s">
        <v>628</v>
      </c>
      <c r="D22" s="20" t="str">
        <f aca="false">"0,9511"</f>
        <v>0,9511</v>
      </c>
      <c r="E22" s="21" t="s">
        <v>12</v>
      </c>
      <c r="F22" s="21" t="s">
        <v>29</v>
      </c>
      <c r="G22" s="20" t="s">
        <v>629</v>
      </c>
      <c r="H22" s="20" t="s">
        <v>630</v>
      </c>
      <c r="I22" s="20" t="s">
        <v>390</v>
      </c>
      <c r="J22" s="22"/>
      <c r="K22" s="23" t="str">
        <f aca="false">"110,0"</f>
        <v>110,0</v>
      </c>
      <c r="L22" s="23" t="str">
        <f aca="false">"104,6210"</f>
        <v>104,6210</v>
      </c>
      <c r="M22" s="23"/>
    </row>
    <row r="23" customFormat="false" ht="13.2" hidden="false" customHeight="false" outlineLevel="0" collapsed="false">
      <c r="A23" s="30" t="s">
        <v>631</v>
      </c>
      <c r="B23" s="31" t="s">
        <v>632</v>
      </c>
      <c r="C23" s="31" t="s">
        <v>633</v>
      </c>
      <c r="D23" s="31" t="str">
        <f aca="false">"0,9145"</f>
        <v>0,9145</v>
      </c>
      <c r="E23" s="32" t="s">
        <v>12</v>
      </c>
      <c r="F23" s="32" t="s">
        <v>29</v>
      </c>
      <c r="G23" s="31" t="s">
        <v>155</v>
      </c>
      <c r="H23" s="31" t="s">
        <v>88</v>
      </c>
      <c r="I23" s="33" t="s">
        <v>486</v>
      </c>
      <c r="J23" s="33"/>
      <c r="K23" s="34" t="str">
        <f aca="false">"75,0"</f>
        <v>75,0</v>
      </c>
      <c r="L23" s="34" t="str">
        <f aca="false">"68,5875"</f>
        <v>68,5875</v>
      </c>
      <c r="M23" s="34"/>
    </row>
    <row r="24" customFormat="false" ht="13.2" hidden="false" customHeight="false" outlineLevel="0" collapsed="false">
      <c r="A24" s="30" t="s">
        <v>634</v>
      </c>
      <c r="B24" s="31" t="s">
        <v>635</v>
      </c>
      <c r="C24" s="31" t="s">
        <v>636</v>
      </c>
      <c r="D24" s="31" t="str">
        <f aca="false">"0,9380"</f>
        <v>0,9380</v>
      </c>
      <c r="E24" s="32" t="s">
        <v>87</v>
      </c>
      <c r="F24" s="32" t="s">
        <v>29</v>
      </c>
      <c r="G24" s="33" t="s">
        <v>240</v>
      </c>
      <c r="H24" s="31" t="s">
        <v>240</v>
      </c>
      <c r="I24" s="33" t="s">
        <v>88</v>
      </c>
      <c r="J24" s="33"/>
      <c r="K24" s="34" t="str">
        <f aca="false">"72,5"</f>
        <v>72,5</v>
      </c>
      <c r="L24" s="34" t="str">
        <f aca="false">"68,0086"</f>
        <v>68,0086</v>
      </c>
      <c r="M24" s="34"/>
    </row>
    <row r="25" customFormat="false" ht="13.2" hidden="false" customHeight="false" outlineLevel="0" collapsed="false">
      <c r="A25" s="30" t="s">
        <v>637</v>
      </c>
      <c r="B25" s="31" t="s">
        <v>638</v>
      </c>
      <c r="C25" s="31" t="s">
        <v>639</v>
      </c>
      <c r="D25" s="31" t="str">
        <f aca="false">"0,9645"</f>
        <v>0,9645</v>
      </c>
      <c r="E25" s="32" t="s">
        <v>12</v>
      </c>
      <c r="F25" s="32" t="s">
        <v>29</v>
      </c>
      <c r="G25" s="31" t="s">
        <v>149</v>
      </c>
      <c r="H25" s="31" t="s">
        <v>230</v>
      </c>
      <c r="I25" s="33" t="s">
        <v>236</v>
      </c>
      <c r="J25" s="33"/>
      <c r="K25" s="34" t="str">
        <f aca="false">"60,0"</f>
        <v>60,0</v>
      </c>
      <c r="L25" s="34" t="str">
        <f aca="false">"57,8700"</f>
        <v>57,8700</v>
      </c>
      <c r="M25" s="34"/>
    </row>
    <row r="26" customFormat="false" ht="13.2" hidden="false" customHeight="false" outlineLevel="0" collapsed="false">
      <c r="A26" s="30" t="s">
        <v>640</v>
      </c>
      <c r="B26" s="31" t="s">
        <v>393</v>
      </c>
      <c r="C26" s="31" t="s">
        <v>394</v>
      </c>
      <c r="D26" s="31" t="str">
        <f aca="false">"0,9255"</f>
        <v>0,9255</v>
      </c>
      <c r="E26" s="32" t="s">
        <v>12</v>
      </c>
      <c r="F26" s="32" t="s">
        <v>29</v>
      </c>
      <c r="G26" s="33" t="s">
        <v>170</v>
      </c>
      <c r="H26" s="33"/>
      <c r="I26" s="33"/>
      <c r="J26" s="33"/>
      <c r="K26" s="34" t="str">
        <f aca="false">"0.00"</f>
        <v>0.00</v>
      </c>
      <c r="L26" s="34" t="str">
        <f aca="false">"0,0000"</f>
        <v>0,0000</v>
      </c>
      <c r="M26" s="34"/>
    </row>
    <row r="27" customFormat="false" ht="13.2" hidden="false" customHeight="false" outlineLevel="0" collapsed="false">
      <c r="A27" s="24" t="s">
        <v>641</v>
      </c>
      <c r="B27" s="25" t="s">
        <v>642</v>
      </c>
      <c r="C27" s="25" t="s">
        <v>643</v>
      </c>
      <c r="D27" s="25" t="str">
        <f aca="false">"0,9156"</f>
        <v>0,9156</v>
      </c>
      <c r="E27" s="26" t="s">
        <v>12</v>
      </c>
      <c r="F27" s="26" t="s">
        <v>29</v>
      </c>
      <c r="G27" s="25" t="s">
        <v>272</v>
      </c>
      <c r="H27" s="27" t="s">
        <v>141</v>
      </c>
      <c r="I27" s="27" t="s">
        <v>276</v>
      </c>
      <c r="J27" s="27"/>
      <c r="K27" s="28" t="str">
        <f aca="false">"45,0"</f>
        <v>45,0</v>
      </c>
      <c r="L27" s="28" t="str">
        <f aca="false">"45,8578"</f>
        <v>45,8578</v>
      </c>
      <c r="M27" s="28"/>
    </row>
    <row r="29" customFormat="false" ht="15.6" hidden="false" customHeight="false" outlineLevel="0" collapsed="false">
      <c r="A29" s="18" t="s">
        <v>83</v>
      </c>
      <c r="B29" s="18"/>
      <c r="C29" s="18"/>
      <c r="D29" s="18"/>
      <c r="E29" s="18"/>
      <c r="F29" s="18"/>
      <c r="G29" s="18"/>
      <c r="H29" s="18"/>
      <c r="I29" s="18"/>
      <c r="J29" s="18"/>
    </row>
    <row r="30" customFormat="false" ht="13.2" hidden="false" customHeight="false" outlineLevel="0" collapsed="false">
      <c r="A30" s="19" t="s">
        <v>644</v>
      </c>
      <c r="B30" s="20" t="s">
        <v>645</v>
      </c>
      <c r="C30" s="20" t="s">
        <v>646</v>
      </c>
      <c r="D30" s="20" t="str">
        <f aca="false">"0,8687"</f>
        <v>0,8687</v>
      </c>
      <c r="E30" s="21" t="s">
        <v>12</v>
      </c>
      <c r="F30" s="21" t="s">
        <v>622</v>
      </c>
      <c r="G30" s="22" t="s">
        <v>141</v>
      </c>
      <c r="H30" s="20" t="s">
        <v>141</v>
      </c>
      <c r="I30" s="22" t="s">
        <v>284</v>
      </c>
      <c r="J30" s="22"/>
      <c r="K30" s="23" t="str">
        <f aca="false">"50,0"</f>
        <v>50,0</v>
      </c>
      <c r="L30" s="23" t="str">
        <f aca="false">"43,4350"</f>
        <v>43,4350</v>
      </c>
      <c r="M30" s="23"/>
    </row>
    <row r="31" customFormat="false" ht="13.2" hidden="false" customHeight="false" outlineLevel="0" collapsed="false">
      <c r="A31" s="24" t="s">
        <v>267</v>
      </c>
      <c r="B31" s="25" t="s">
        <v>268</v>
      </c>
      <c r="C31" s="25" t="s">
        <v>269</v>
      </c>
      <c r="D31" s="25" t="str">
        <f aca="false">"0,8817"</f>
        <v>0,8817</v>
      </c>
      <c r="E31" s="26" t="s">
        <v>12</v>
      </c>
      <c r="F31" s="26" t="s">
        <v>29</v>
      </c>
      <c r="G31" s="25" t="s">
        <v>166</v>
      </c>
      <c r="H31" s="25" t="s">
        <v>592</v>
      </c>
      <c r="I31" s="25" t="s">
        <v>647</v>
      </c>
      <c r="J31" s="27"/>
      <c r="K31" s="28" t="str">
        <f aca="false">"95,0"</f>
        <v>95,0</v>
      </c>
      <c r="L31" s="28" t="str">
        <f aca="false">"102,6137"</f>
        <v>102,6137</v>
      </c>
      <c r="M31" s="28"/>
    </row>
    <row r="33" customFormat="false" ht="15.6" hidden="false" customHeight="false" outlineLevel="0" collapsed="false">
      <c r="A33" s="18" t="s">
        <v>211</v>
      </c>
      <c r="B33" s="18"/>
      <c r="C33" s="18"/>
      <c r="D33" s="18"/>
      <c r="E33" s="18"/>
      <c r="F33" s="18"/>
      <c r="G33" s="18"/>
      <c r="H33" s="18"/>
      <c r="I33" s="18"/>
      <c r="J33" s="18"/>
    </row>
    <row r="34" customFormat="false" ht="13.2" hidden="false" customHeight="false" outlineLevel="0" collapsed="false">
      <c r="A34" s="14" t="s">
        <v>648</v>
      </c>
      <c r="B34" s="15" t="s">
        <v>649</v>
      </c>
      <c r="C34" s="15" t="s">
        <v>650</v>
      </c>
      <c r="D34" s="15" t="str">
        <f aca="false">"0,8440"</f>
        <v>0,8440</v>
      </c>
      <c r="E34" s="16" t="s">
        <v>12</v>
      </c>
      <c r="F34" s="16" t="s">
        <v>29</v>
      </c>
      <c r="G34" s="15" t="s">
        <v>487</v>
      </c>
      <c r="H34" s="17" t="s">
        <v>647</v>
      </c>
      <c r="I34" s="17" t="s">
        <v>176</v>
      </c>
      <c r="J34" s="17"/>
      <c r="K34" s="29" t="str">
        <f aca="false">"90,0"</f>
        <v>90,0</v>
      </c>
      <c r="L34" s="29" t="str">
        <f aca="false">"75,9555"</f>
        <v>75,9555</v>
      </c>
      <c r="M34" s="29"/>
    </row>
    <row r="36" customFormat="false" ht="15.6" hidden="false" customHeight="false" outlineLevel="0" collapsed="false">
      <c r="A36" s="18" t="s">
        <v>220</v>
      </c>
      <c r="B36" s="18"/>
      <c r="C36" s="18"/>
      <c r="D36" s="18"/>
      <c r="E36" s="18"/>
      <c r="F36" s="18"/>
      <c r="G36" s="18"/>
      <c r="H36" s="18"/>
      <c r="I36" s="18"/>
      <c r="J36" s="18"/>
    </row>
    <row r="37" customFormat="false" ht="13.2" hidden="false" customHeight="false" outlineLevel="0" collapsed="false">
      <c r="A37" s="19" t="s">
        <v>651</v>
      </c>
      <c r="B37" s="20" t="s">
        <v>652</v>
      </c>
      <c r="C37" s="20" t="s">
        <v>280</v>
      </c>
      <c r="D37" s="20" t="str">
        <f aca="false">"0,7484"</f>
        <v>0,7484</v>
      </c>
      <c r="E37" s="21" t="s">
        <v>12</v>
      </c>
      <c r="F37" s="21" t="s">
        <v>653</v>
      </c>
      <c r="G37" s="20" t="s">
        <v>386</v>
      </c>
      <c r="H37" s="20" t="s">
        <v>408</v>
      </c>
      <c r="I37" s="22" t="s">
        <v>341</v>
      </c>
      <c r="J37" s="22"/>
      <c r="K37" s="23" t="str">
        <f aca="false">"145,0"</f>
        <v>145,0</v>
      </c>
      <c r="L37" s="23" t="str">
        <f aca="false">"108,5180"</f>
        <v>108,5180</v>
      </c>
      <c r="M37" s="23"/>
    </row>
    <row r="38" customFormat="false" ht="13.2" hidden="false" customHeight="false" outlineLevel="0" collapsed="false">
      <c r="A38" s="30" t="s">
        <v>654</v>
      </c>
      <c r="B38" s="31" t="s">
        <v>655</v>
      </c>
      <c r="C38" s="31" t="s">
        <v>280</v>
      </c>
      <c r="D38" s="31" t="str">
        <f aca="false">"0,7484"</f>
        <v>0,7484</v>
      </c>
      <c r="E38" s="32" t="s">
        <v>12</v>
      </c>
      <c r="F38" s="32" t="s">
        <v>29</v>
      </c>
      <c r="G38" s="31" t="s">
        <v>328</v>
      </c>
      <c r="H38" s="31" t="s">
        <v>656</v>
      </c>
      <c r="I38" s="31" t="s">
        <v>329</v>
      </c>
      <c r="J38" s="33"/>
      <c r="K38" s="34" t="str">
        <f aca="false">"125,0"</f>
        <v>125,0</v>
      </c>
      <c r="L38" s="34" t="str">
        <f aca="false">"93,5500"</f>
        <v>93,5500</v>
      </c>
      <c r="M38" s="34"/>
    </row>
    <row r="39" customFormat="false" ht="13.2" hidden="false" customHeight="false" outlineLevel="0" collapsed="false">
      <c r="A39" s="24" t="s">
        <v>657</v>
      </c>
      <c r="B39" s="25" t="s">
        <v>658</v>
      </c>
      <c r="C39" s="25" t="s">
        <v>659</v>
      </c>
      <c r="D39" s="25" t="str">
        <f aca="false">"0,7691"</f>
        <v>0,7691</v>
      </c>
      <c r="E39" s="26" t="s">
        <v>12</v>
      </c>
      <c r="F39" s="26" t="s">
        <v>29</v>
      </c>
      <c r="G39" s="25" t="s">
        <v>390</v>
      </c>
      <c r="H39" s="27" t="s">
        <v>660</v>
      </c>
      <c r="I39" s="27" t="s">
        <v>660</v>
      </c>
      <c r="J39" s="27"/>
      <c r="K39" s="28" t="str">
        <f aca="false">"110,0"</f>
        <v>110,0</v>
      </c>
      <c r="L39" s="28" t="str">
        <f aca="false">"84,6010"</f>
        <v>84,6010</v>
      </c>
      <c r="M39" s="28"/>
    </row>
    <row r="41" customFormat="false" ht="15.6" hidden="false" customHeight="false" outlineLevel="0" collapsed="false">
      <c r="A41" s="18" t="s">
        <v>83</v>
      </c>
      <c r="B41" s="18"/>
      <c r="C41" s="18"/>
      <c r="D41" s="18"/>
      <c r="E41" s="18"/>
      <c r="F41" s="18"/>
      <c r="G41" s="18"/>
      <c r="H41" s="18"/>
      <c r="I41" s="18"/>
      <c r="J41" s="18"/>
    </row>
    <row r="42" customFormat="false" ht="13.2" hidden="false" customHeight="false" outlineLevel="0" collapsed="false">
      <c r="A42" s="19" t="s">
        <v>281</v>
      </c>
      <c r="B42" s="20" t="s">
        <v>282</v>
      </c>
      <c r="C42" s="20" t="s">
        <v>283</v>
      </c>
      <c r="D42" s="20" t="str">
        <f aca="false">"0,6885"</f>
        <v>0,6885</v>
      </c>
      <c r="E42" s="21" t="s">
        <v>12</v>
      </c>
      <c r="F42" s="21" t="s">
        <v>29</v>
      </c>
      <c r="G42" s="20" t="s">
        <v>328</v>
      </c>
      <c r="H42" s="22" t="s">
        <v>661</v>
      </c>
      <c r="I42" s="20" t="s">
        <v>661</v>
      </c>
      <c r="J42" s="22"/>
      <c r="K42" s="23" t="str">
        <f aca="false">"120,0"</f>
        <v>120,0</v>
      </c>
      <c r="L42" s="23" t="str">
        <f aca="false">"82,6260"</f>
        <v>82,6260</v>
      </c>
      <c r="M42" s="23"/>
    </row>
    <row r="43" customFormat="false" ht="13.2" hidden="false" customHeight="false" outlineLevel="0" collapsed="false">
      <c r="A43" s="30" t="s">
        <v>662</v>
      </c>
      <c r="B43" s="31" t="s">
        <v>663</v>
      </c>
      <c r="C43" s="31" t="s">
        <v>664</v>
      </c>
      <c r="D43" s="31" t="str">
        <f aca="false">"0,6899"</f>
        <v>0,6899</v>
      </c>
      <c r="E43" s="32" t="s">
        <v>12</v>
      </c>
      <c r="F43" s="32" t="s">
        <v>665</v>
      </c>
      <c r="G43" s="31" t="s">
        <v>330</v>
      </c>
      <c r="H43" s="31" t="s">
        <v>331</v>
      </c>
      <c r="I43" s="31" t="s">
        <v>386</v>
      </c>
      <c r="J43" s="33"/>
      <c r="K43" s="34" t="str">
        <f aca="false">"140,0"</f>
        <v>140,0</v>
      </c>
      <c r="L43" s="34" t="str">
        <f aca="false">"96,5860"</f>
        <v>96,5860</v>
      </c>
      <c r="M43" s="34"/>
    </row>
    <row r="44" customFormat="false" ht="13.2" hidden="false" customHeight="false" outlineLevel="0" collapsed="false">
      <c r="A44" s="30" t="s">
        <v>666</v>
      </c>
      <c r="B44" s="31" t="s">
        <v>667</v>
      </c>
      <c r="C44" s="31" t="s">
        <v>668</v>
      </c>
      <c r="D44" s="31" t="str">
        <f aca="false">"0,7027"</f>
        <v>0,7027</v>
      </c>
      <c r="E44" s="32" t="s">
        <v>12</v>
      </c>
      <c r="F44" s="32" t="s">
        <v>29</v>
      </c>
      <c r="G44" s="31" t="s">
        <v>331</v>
      </c>
      <c r="H44" s="33" t="s">
        <v>386</v>
      </c>
      <c r="I44" s="33"/>
      <c r="J44" s="33"/>
      <c r="K44" s="34" t="str">
        <f aca="false">"135,0"</f>
        <v>135,0</v>
      </c>
      <c r="L44" s="34" t="str">
        <f aca="false">"94,8578"</f>
        <v>94,8578</v>
      </c>
      <c r="M44" s="34"/>
    </row>
    <row r="45" customFormat="false" ht="13.2" hidden="false" customHeight="false" outlineLevel="0" collapsed="false">
      <c r="A45" s="30" t="s">
        <v>669</v>
      </c>
      <c r="B45" s="31" t="s">
        <v>670</v>
      </c>
      <c r="C45" s="31" t="s">
        <v>671</v>
      </c>
      <c r="D45" s="31" t="str">
        <f aca="false">"0,6955"</f>
        <v>0,6955</v>
      </c>
      <c r="E45" s="32" t="s">
        <v>87</v>
      </c>
      <c r="F45" s="32" t="s">
        <v>29</v>
      </c>
      <c r="G45" s="31" t="s">
        <v>330</v>
      </c>
      <c r="H45" s="31" t="s">
        <v>331</v>
      </c>
      <c r="I45" s="33" t="s">
        <v>672</v>
      </c>
      <c r="J45" s="33"/>
      <c r="K45" s="34" t="str">
        <f aca="false">"135,0"</f>
        <v>135,0</v>
      </c>
      <c r="L45" s="34" t="str">
        <f aca="false">"93,8858"</f>
        <v>93,8858</v>
      </c>
      <c r="M45" s="34"/>
    </row>
    <row r="46" customFormat="false" ht="13.2" hidden="false" customHeight="false" outlineLevel="0" collapsed="false">
      <c r="A46" s="30" t="s">
        <v>673</v>
      </c>
      <c r="B46" s="31" t="s">
        <v>674</v>
      </c>
      <c r="C46" s="31" t="s">
        <v>675</v>
      </c>
      <c r="D46" s="31" t="str">
        <f aca="false">"0,6975"</f>
        <v>0,6975</v>
      </c>
      <c r="E46" s="32" t="s">
        <v>87</v>
      </c>
      <c r="F46" s="32" t="s">
        <v>29</v>
      </c>
      <c r="G46" s="31" t="s">
        <v>376</v>
      </c>
      <c r="H46" s="33" t="s">
        <v>328</v>
      </c>
      <c r="I46" s="33"/>
      <c r="J46" s="33"/>
      <c r="K46" s="34" t="str">
        <f aca="false">"112,5"</f>
        <v>112,5</v>
      </c>
      <c r="L46" s="34" t="str">
        <f aca="false">"78,4744"</f>
        <v>78,4744</v>
      </c>
      <c r="M46" s="34"/>
    </row>
    <row r="47" customFormat="false" ht="13.2" hidden="false" customHeight="false" outlineLevel="0" collapsed="false">
      <c r="A47" s="30" t="s">
        <v>676</v>
      </c>
      <c r="B47" s="31" t="s">
        <v>677</v>
      </c>
      <c r="C47" s="31" t="s">
        <v>678</v>
      </c>
      <c r="D47" s="31" t="str">
        <f aca="false">"0,7019"</f>
        <v>0,7019</v>
      </c>
      <c r="E47" s="32" t="s">
        <v>12</v>
      </c>
      <c r="F47" s="32" t="s">
        <v>29</v>
      </c>
      <c r="G47" s="33" t="s">
        <v>661</v>
      </c>
      <c r="H47" s="33" t="s">
        <v>391</v>
      </c>
      <c r="I47" s="33" t="s">
        <v>330</v>
      </c>
      <c r="J47" s="33"/>
      <c r="K47" s="34" t="str">
        <f aca="false">"0.00"</f>
        <v>0.00</v>
      </c>
      <c r="L47" s="34" t="str">
        <f aca="false">"0,0000"</f>
        <v>0,0000</v>
      </c>
      <c r="M47" s="34"/>
    </row>
    <row r="48" customFormat="false" ht="13.2" hidden="false" customHeight="false" outlineLevel="0" collapsed="false">
      <c r="A48" s="24" t="s">
        <v>679</v>
      </c>
      <c r="B48" s="25" t="s">
        <v>680</v>
      </c>
      <c r="C48" s="25" t="s">
        <v>668</v>
      </c>
      <c r="D48" s="25" t="str">
        <f aca="false">"0,7027"</f>
        <v>0,7027</v>
      </c>
      <c r="E48" s="26" t="s">
        <v>12</v>
      </c>
      <c r="F48" s="26" t="s">
        <v>29</v>
      </c>
      <c r="G48" s="25" t="s">
        <v>331</v>
      </c>
      <c r="H48" s="27" t="s">
        <v>386</v>
      </c>
      <c r="I48" s="27"/>
      <c r="J48" s="27"/>
      <c r="K48" s="28" t="str">
        <f aca="false">"135,0"</f>
        <v>135,0</v>
      </c>
      <c r="L48" s="28" t="str">
        <f aca="false">"116,2007"</f>
        <v>116,2007</v>
      </c>
      <c r="M48" s="28"/>
    </row>
    <row r="50" customFormat="false" ht="15.6" hidden="false" customHeight="false" outlineLevel="0" collapsed="false">
      <c r="A50" s="18" t="s">
        <v>98</v>
      </c>
      <c r="B50" s="18"/>
      <c r="C50" s="18"/>
      <c r="D50" s="18"/>
      <c r="E50" s="18"/>
      <c r="F50" s="18"/>
      <c r="G50" s="18"/>
      <c r="H50" s="18"/>
      <c r="I50" s="18"/>
      <c r="J50" s="18"/>
    </row>
    <row r="51" customFormat="false" ht="13.2" hidden="false" customHeight="false" outlineLevel="0" collapsed="false">
      <c r="A51" s="19" t="s">
        <v>681</v>
      </c>
      <c r="B51" s="20" t="s">
        <v>682</v>
      </c>
      <c r="C51" s="20" t="s">
        <v>683</v>
      </c>
      <c r="D51" s="20" t="str">
        <f aca="false">"0,6508"</f>
        <v>0,6508</v>
      </c>
      <c r="E51" s="21" t="s">
        <v>12</v>
      </c>
      <c r="F51" s="21" t="s">
        <v>382</v>
      </c>
      <c r="G51" s="20" t="s">
        <v>376</v>
      </c>
      <c r="H51" s="20" t="s">
        <v>328</v>
      </c>
      <c r="I51" s="22" t="s">
        <v>661</v>
      </c>
      <c r="J51" s="22"/>
      <c r="K51" s="23" t="str">
        <f aca="false">"117,5"</f>
        <v>117,5</v>
      </c>
      <c r="L51" s="23" t="str">
        <f aca="false">"76,4690"</f>
        <v>76,4690</v>
      </c>
      <c r="M51" s="23"/>
    </row>
    <row r="52" customFormat="false" ht="13.2" hidden="false" customHeight="false" outlineLevel="0" collapsed="false">
      <c r="A52" s="30" t="s">
        <v>684</v>
      </c>
      <c r="B52" s="31" t="s">
        <v>685</v>
      </c>
      <c r="C52" s="31" t="s">
        <v>290</v>
      </c>
      <c r="D52" s="31" t="str">
        <f aca="false">"0,6482"</f>
        <v>0,6482</v>
      </c>
      <c r="E52" s="32" t="s">
        <v>12</v>
      </c>
      <c r="F52" s="32" t="s">
        <v>29</v>
      </c>
      <c r="G52" s="31" t="s">
        <v>630</v>
      </c>
      <c r="H52" s="33" t="s">
        <v>390</v>
      </c>
      <c r="I52" s="33" t="s">
        <v>390</v>
      </c>
      <c r="J52" s="33"/>
      <c r="K52" s="34" t="str">
        <f aca="false">"107,5"</f>
        <v>107,5</v>
      </c>
      <c r="L52" s="34" t="str">
        <f aca="false">"69,6815"</f>
        <v>69,6815</v>
      </c>
      <c r="M52" s="34" t="s">
        <v>686</v>
      </c>
    </row>
    <row r="53" customFormat="false" ht="13.2" hidden="false" customHeight="false" outlineLevel="0" collapsed="false">
      <c r="A53" s="30" t="s">
        <v>687</v>
      </c>
      <c r="B53" s="31" t="s">
        <v>688</v>
      </c>
      <c r="C53" s="31" t="s">
        <v>689</v>
      </c>
      <c r="D53" s="31" t="str">
        <f aca="false">"0,6461"</f>
        <v>0,6461</v>
      </c>
      <c r="E53" s="32" t="s">
        <v>12</v>
      </c>
      <c r="F53" s="32" t="s">
        <v>29</v>
      </c>
      <c r="G53" s="31" t="s">
        <v>349</v>
      </c>
      <c r="H53" s="33" t="s">
        <v>690</v>
      </c>
      <c r="I53" s="33" t="s">
        <v>690</v>
      </c>
      <c r="J53" s="33"/>
      <c r="K53" s="34" t="str">
        <f aca="false">"160,0"</f>
        <v>160,0</v>
      </c>
      <c r="L53" s="34" t="str">
        <f aca="false">"103,3840"</f>
        <v>103,3840</v>
      </c>
      <c r="M53" s="34"/>
    </row>
    <row r="54" customFormat="false" ht="13.2" hidden="false" customHeight="false" outlineLevel="0" collapsed="false">
      <c r="A54" s="30" t="s">
        <v>691</v>
      </c>
      <c r="B54" s="31" t="s">
        <v>692</v>
      </c>
      <c r="C54" s="31" t="s">
        <v>693</v>
      </c>
      <c r="D54" s="31" t="str">
        <f aca="false">"0,6524"</f>
        <v>0,6524</v>
      </c>
      <c r="E54" s="32" t="s">
        <v>694</v>
      </c>
      <c r="F54" s="32" t="s">
        <v>695</v>
      </c>
      <c r="G54" s="31" t="s">
        <v>341</v>
      </c>
      <c r="H54" s="31" t="s">
        <v>383</v>
      </c>
      <c r="I54" s="31" t="s">
        <v>384</v>
      </c>
      <c r="J54" s="33"/>
      <c r="K54" s="34" t="str">
        <f aca="false">"157,5"</f>
        <v>157,5</v>
      </c>
      <c r="L54" s="34" t="str">
        <f aca="false">"102,7451"</f>
        <v>102,7451</v>
      </c>
      <c r="M54" s="34"/>
    </row>
    <row r="55" customFormat="false" ht="13.2" hidden="false" customHeight="false" outlineLevel="0" collapsed="false">
      <c r="A55" s="30" t="s">
        <v>696</v>
      </c>
      <c r="B55" s="31" t="s">
        <v>697</v>
      </c>
      <c r="C55" s="31" t="s">
        <v>101</v>
      </c>
      <c r="D55" s="31" t="str">
        <f aca="false">"0,6487"</f>
        <v>0,6487</v>
      </c>
      <c r="E55" s="32" t="s">
        <v>12</v>
      </c>
      <c r="F55" s="32" t="s">
        <v>29</v>
      </c>
      <c r="G55" s="31" t="s">
        <v>330</v>
      </c>
      <c r="H55" s="31" t="s">
        <v>672</v>
      </c>
      <c r="I55" s="33" t="s">
        <v>408</v>
      </c>
      <c r="J55" s="33"/>
      <c r="K55" s="34" t="str">
        <f aca="false">"137,5"</f>
        <v>137,5</v>
      </c>
      <c r="L55" s="34" t="str">
        <f aca="false">"89,1962"</f>
        <v>89,1962</v>
      </c>
      <c r="M55" s="34"/>
    </row>
    <row r="56" customFormat="false" ht="13.2" hidden="false" customHeight="false" outlineLevel="0" collapsed="false">
      <c r="A56" s="30" t="s">
        <v>698</v>
      </c>
      <c r="B56" s="31" t="s">
        <v>100</v>
      </c>
      <c r="C56" s="31" t="s">
        <v>101</v>
      </c>
      <c r="D56" s="31" t="str">
        <f aca="false">"0,6487"</f>
        <v>0,6487</v>
      </c>
      <c r="E56" s="32" t="s">
        <v>12</v>
      </c>
      <c r="F56" s="32" t="s">
        <v>29</v>
      </c>
      <c r="G56" s="31" t="s">
        <v>672</v>
      </c>
      <c r="H56" s="33" t="s">
        <v>398</v>
      </c>
      <c r="I56" s="33" t="s">
        <v>408</v>
      </c>
      <c r="J56" s="33"/>
      <c r="K56" s="34" t="str">
        <f aca="false">"137,5"</f>
        <v>137,5</v>
      </c>
      <c r="L56" s="34" t="str">
        <f aca="false">"89,1962"</f>
        <v>89,1962</v>
      </c>
      <c r="M56" s="34"/>
    </row>
    <row r="57" customFormat="false" ht="13.2" hidden="false" customHeight="false" outlineLevel="0" collapsed="false">
      <c r="A57" s="30" t="s">
        <v>699</v>
      </c>
      <c r="B57" s="31" t="s">
        <v>700</v>
      </c>
      <c r="C57" s="31" t="s">
        <v>701</v>
      </c>
      <c r="D57" s="31" t="str">
        <f aca="false">"0,6513"</f>
        <v>0,6513</v>
      </c>
      <c r="E57" s="32" t="s">
        <v>12</v>
      </c>
      <c r="F57" s="32" t="s">
        <v>702</v>
      </c>
      <c r="G57" s="31" t="s">
        <v>661</v>
      </c>
      <c r="H57" s="31" t="s">
        <v>391</v>
      </c>
      <c r="I57" s="31" t="s">
        <v>330</v>
      </c>
      <c r="J57" s="33"/>
      <c r="K57" s="34" t="str">
        <f aca="false">"130,0"</f>
        <v>130,0</v>
      </c>
      <c r="L57" s="34" t="str">
        <f aca="false">"84,6690"</f>
        <v>84,6690</v>
      </c>
      <c r="M57" s="34"/>
    </row>
    <row r="58" customFormat="false" ht="13.2" hidden="false" customHeight="false" outlineLevel="0" collapsed="false">
      <c r="A58" s="30" t="s">
        <v>703</v>
      </c>
      <c r="B58" s="31" t="s">
        <v>704</v>
      </c>
      <c r="C58" s="31" t="s">
        <v>705</v>
      </c>
      <c r="D58" s="31" t="str">
        <f aca="false">"0,6635"</f>
        <v>0,6635</v>
      </c>
      <c r="E58" s="32" t="s">
        <v>12</v>
      </c>
      <c r="F58" s="32" t="s">
        <v>622</v>
      </c>
      <c r="G58" s="31" t="s">
        <v>390</v>
      </c>
      <c r="H58" s="33" t="s">
        <v>661</v>
      </c>
      <c r="I58" s="31" t="s">
        <v>661</v>
      </c>
      <c r="J58" s="33"/>
      <c r="K58" s="34" t="str">
        <f aca="false">"120,0"</f>
        <v>120,0</v>
      </c>
      <c r="L58" s="34" t="str">
        <f aca="false">"79,6200"</f>
        <v>79,6200</v>
      </c>
      <c r="M58" s="34"/>
    </row>
    <row r="59" customFormat="false" ht="13.2" hidden="false" customHeight="false" outlineLevel="0" collapsed="false">
      <c r="A59" s="30" t="s">
        <v>706</v>
      </c>
      <c r="B59" s="31" t="s">
        <v>707</v>
      </c>
      <c r="C59" s="31" t="s">
        <v>708</v>
      </c>
      <c r="D59" s="31" t="str">
        <f aca="false">"0,6606"</f>
        <v>0,6606</v>
      </c>
      <c r="E59" s="32" t="s">
        <v>12</v>
      </c>
      <c r="F59" s="32" t="s">
        <v>382</v>
      </c>
      <c r="G59" s="31" t="s">
        <v>376</v>
      </c>
      <c r="H59" s="31" t="s">
        <v>328</v>
      </c>
      <c r="I59" s="33" t="s">
        <v>661</v>
      </c>
      <c r="J59" s="33"/>
      <c r="K59" s="34" t="str">
        <f aca="false">"117,5"</f>
        <v>117,5</v>
      </c>
      <c r="L59" s="34" t="str">
        <f aca="false">"77,6205"</f>
        <v>77,6205</v>
      </c>
      <c r="M59" s="34"/>
    </row>
    <row r="60" customFormat="false" ht="13.2" hidden="false" customHeight="false" outlineLevel="0" collapsed="false">
      <c r="A60" s="30" t="s">
        <v>709</v>
      </c>
      <c r="B60" s="31" t="s">
        <v>710</v>
      </c>
      <c r="C60" s="31" t="s">
        <v>348</v>
      </c>
      <c r="D60" s="31" t="str">
        <f aca="false">"0,6529"</f>
        <v>0,6529</v>
      </c>
      <c r="E60" s="32" t="s">
        <v>12</v>
      </c>
      <c r="F60" s="32" t="s">
        <v>29</v>
      </c>
      <c r="G60" s="33" t="s">
        <v>166</v>
      </c>
      <c r="H60" s="33" t="s">
        <v>166</v>
      </c>
      <c r="I60" s="33" t="s">
        <v>166</v>
      </c>
      <c r="J60" s="33"/>
      <c r="K60" s="34" t="str">
        <f aca="false">"0.00"</f>
        <v>0.00</v>
      </c>
      <c r="L60" s="34" t="str">
        <f aca="false">"0,0000"</f>
        <v>0,0000</v>
      </c>
      <c r="M60" s="34"/>
    </row>
    <row r="61" customFormat="false" ht="13.2" hidden="false" customHeight="false" outlineLevel="0" collapsed="false">
      <c r="A61" s="30" t="s">
        <v>711</v>
      </c>
      <c r="B61" s="31" t="s">
        <v>712</v>
      </c>
      <c r="C61" s="31" t="s">
        <v>420</v>
      </c>
      <c r="D61" s="31" t="str">
        <f aca="false">"0,6497"</f>
        <v>0,6497</v>
      </c>
      <c r="E61" s="32" t="s">
        <v>12</v>
      </c>
      <c r="F61" s="32" t="s">
        <v>713</v>
      </c>
      <c r="G61" s="33" t="s">
        <v>656</v>
      </c>
      <c r="H61" s="33" t="s">
        <v>656</v>
      </c>
      <c r="I61" s="33" t="s">
        <v>656</v>
      </c>
      <c r="J61" s="33"/>
      <c r="K61" s="34" t="str">
        <f aca="false">"0.00"</f>
        <v>0.00</v>
      </c>
      <c r="L61" s="34" t="str">
        <f aca="false">"0,0000"</f>
        <v>0,0000</v>
      </c>
      <c r="M61" s="34"/>
    </row>
    <row r="62" customFormat="false" ht="13.2" hidden="false" customHeight="false" outlineLevel="0" collapsed="false">
      <c r="A62" s="30" t="s">
        <v>714</v>
      </c>
      <c r="B62" s="31" t="s">
        <v>715</v>
      </c>
      <c r="C62" s="31" t="s">
        <v>716</v>
      </c>
      <c r="D62" s="31" t="str">
        <f aca="false">"0,6646"</f>
        <v>0,6646</v>
      </c>
      <c r="E62" s="32" t="s">
        <v>12</v>
      </c>
      <c r="F62" s="32" t="s">
        <v>47</v>
      </c>
      <c r="G62" s="31" t="s">
        <v>390</v>
      </c>
      <c r="H62" s="31" t="s">
        <v>660</v>
      </c>
      <c r="I62" s="33" t="s">
        <v>661</v>
      </c>
      <c r="J62" s="33"/>
      <c r="K62" s="34" t="str">
        <f aca="false">"115,0"</f>
        <v>115,0</v>
      </c>
      <c r="L62" s="34" t="str">
        <f aca="false">"87,6641"</f>
        <v>87,6641</v>
      </c>
      <c r="M62" s="34"/>
    </row>
    <row r="63" customFormat="false" ht="13.2" hidden="false" customHeight="false" outlineLevel="0" collapsed="false">
      <c r="A63" s="24" t="s">
        <v>717</v>
      </c>
      <c r="B63" s="25" t="s">
        <v>718</v>
      </c>
      <c r="C63" s="25" t="s">
        <v>719</v>
      </c>
      <c r="D63" s="25" t="str">
        <f aca="false">"0,6456"</f>
        <v>0,6456</v>
      </c>
      <c r="E63" s="26" t="s">
        <v>12</v>
      </c>
      <c r="F63" s="26" t="s">
        <v>29</v>
      </c>
      <c r="G63" s="27" t="s">
        <v>408</v>
      </c>
      <c r="H63" s="27" t="s">
        <v>408</v>
      </c>
      <c r="I63" s="27" t="s">
        <v>408</v>
      </c>
      <c r="J63" s="27"/>
      <c r="K63" s="28" t="str">
        <f aca="false">"0.00"</f>
        <v>0.00</v>
      </c>
      <c r="L63" s="28" t="str">
        <f aca="false">"0,0000"</f>
        <v>0,0000</v>
      </c>
      <c r="M63" s="28"/>
    </row>
    <row r="65" customFormat="false" ht="15.6" hidden="false" customHeight="false" outlineLevel="0" collapsed="false">
      <c r="A65" s="18" t="s">
        <v>8</v>
      </c>
      <c r="B65" s="18"/>
      <c r="C65" s="18"/>
      <c r="D65" s="18"/>
      <c r="E65" s="18"/>
      <c r="F65" s="18"/>
      <c r="G65" s="18"/>
      <c r="H65" s="18"/>
      <c r="I65" s="18"/>
      <c r="J65" s="18"/>
    </row>
    <row r="66" customFormat="false" ht="13.2" hidden="false" customHeight="false" outlineLevel="0" collapsed="false">
      <c r="A66" s="19" t="s">
        <v>720</v>
      </c>
      <c r="B66" s="20" t="s">
        <v>721</v>
      </c>
      <c r="C66" s="20" t="s">
        <v>722</v>
      </c>
      <c r="D66" s="20" t="str">
        <f aca="false">"0,6242"</f>
        <v>0,6242</v>
      </c>
      <c r="E66" s="21" t="s">
        <v>694</v>
      </c>
      <c r="F66" s="21" t="s">
        <v>695</v>
      </c>
      <c r="G66" s="20" t="s">
        <v>723</v>
      </c>
      <c r="H66" s="20" t="s">
        <v>724</v>
      </c>
      <c r="I66" s="22" t="s">
        <v>349</v>
      </c>
      <c r="J66" s="22"/>
      <c r="K66" s="23" t="str">
        <f aca="false">"152,5"</f>
        <v>152,5</v>
      </c>
      <c r="L66" s="23" t="str">
        <f aca="false">"95,1981"</f>
        <v>95,1981</v>
      </c>
      <c r="M66" s="23"/>
    </row>
    <row r="67" customFormat="false" ht="13.2" hidden="false" customHeight="false" outlineLevel="0" collapsed="false">
      <c r="A67" s="30" t="s">
        <v>725</v>
      </c>
      <c r="B67" s="31" t="s">
        <v>726</v>
      </c>
      <c r="C67" s="31" t="s">
        <v>727</v>
      </c>
      <c r="D67" s="31" t="str">
        <f aca="false">"0,6133"</f>
        <v>0,6133</v>
      </c>
      <c r="E67" s="32" t="s">
        <v>12</v>
      </c>
      <c r="F67" s="32" t="s">
        <v>29</v>
      </c>
      <c r="G67" s="31" t="s">
        <v>402</v>
      </c>
      <c r="H67" s="31" t="s">
        <v>728</v>
      </c>
      <c r="I67" s="33" t="s">
        <v>413</v>
      </c>
      <c r="J67" s="33"/>
      <c r="K67" s="34" t="str">
        <f aca="false">"175,0"</f>
        <v>175,0</v>
      </c>
      <c r="L67" s="34" t="str">
        <f aca="false">"107,3362"</f>
        <v>107,3362</v>
      </c>
      <c r="M67" s="34"/>
    </row>
    <row r="68" customFormat="false" ht="13.2" hidden="false" customHeight="false" outlineLevel="0" collapsed="false">
      <c r="A68" s="30" t="s">
        <v>729</v>
      </c>
      <c r="B68" s="31" t="s">
        <v>730</v>
      </c>
      <c r="C68" s="31" t="s">
        <v>731</v>
      </c>
      <c r="D68" s="31" t="str">
        <f aca="false">"0,6184"</f>
        <v>0,6184</v>
      </c>
      <c r="E68" s="32" t="s">
        <v>12</v>
      </c>
      <c r="F68" s="32" t="s">
        <v>713</v>
      </c>
      <c r="G68" s="31" t="s">
        <v>402</v>
      </c>
      <c r="H68" s="31" t="s">
        <v>350</v>
      </c>
      <c r="I68" s="33" t="s">
        <v>728</v>
      </c>
      <c r="J68" s="33"/>
      <c r="K68" s="34" t="str">
        <f aca="false">"172,5"</f>
        <v>172,5</v>
      </c>
      <c r="L68" s="34" t="str">
        <f aca="false">"106,6826"</f>
        <v>106,6826</v>
      </c>
      <c r="M68" s="34"/>
    </row>
    <row r="69" customFormat="false" ht="13.2" hidden="false" customHeight="false" outlineLevel="0" collapsed="false">
      <c r="A69" s="30" t="s">
        <v>732</v>
      </c>
      <c r="B69" s="31" t="s">
        <v>733</v>
      </c>
      <c r="C69" s="31" t="s">
        <v>734</v>
      </c>
      <c r="D69" s="31" t="str">
        <f aca="false">"0,6177"</f>
        <v>0,6177</v>
      </c>
      <c r="E69" s="32" t="s">
        <v>694</v>
      </c>
      <c r="F69" s="32" t="s">
        <v>695</v>
      </c>
      <c r="G69" s="33" t="s">
        <v>342</v>
      </c>
      <c r="H69" s="31" t="s">
        <v>342</v>
      </c>
      <c r="I69" s="33" t="s">
        <v>690</v>
      </c>
      <c r="J69" s="33"/>
      <c r="K69" s="34" t="str">
        <f aca="false">"162,5"</f>
        <v>162,5</v>
      </c>
      <c r="L69" s="34" t="str">
        <f aca="false">"100,3762"</f>
        <v>100,3762</v>
      </c>
      <c r="M69" s="34"/>
    </row>
    <row r="70" customFormat="false" ht="13.2" hidden="false" customHeight="false" outlineLevel="0" collapsed="false">
      <c r="A70" s="30" t="s">
        <v>735</v>
      </c>
      <c r="B70" s="31" t="s">
        <v>736</v>
      </c>
      <c r="C70" s="31" t="s">
        <v>737</v>
      </c>
      <c r="D70" s="31" t="str">
        <f aca="false">"0,6226"</f>
        <v>0,6226</v>
      </c>
      <c r="E70" s="32" t="s">
        <v>12</v>
      </c>
      <c r="F70" s="32" t="s">
        <v>738</v>
      </c>
      <c r="G70" s="31" t="s">
        <v>739</v>
      </c>
      <c r="H70" s="31" t="s">
        <v>724</v>
      </c>
      <c r="I70" s="31" t="s">
        <v>349</v>
      </c>
      <c r="J70" s="33"/>
      <c r="K70" s="34" t="str">
        <f aca="false">"160,0"</f>
        <v>160,0</v>
      </c>
      <c r="L70" s="34" t="str">
        <f aca="false">"99,6160"</f>
        <v>99,6160</v>
      </c>
      <c r="M70" s="34"/>
    </row>
    <row r="71" customFormat="false" ht="13.2" hidden="false" customHeight="false" outlineLevel="0" collapsed="false">
      <c r="A71" s="30" t="s">
        <v>740</v>
      </c>
      <c r="B71" s="31" t="s">
        <v>741</v>
      </c>
      <c r="C71" s="31" t="s">
        <v>742</v>
      </c>
      <c r="D71" s="31" t="str">
        <f aca="false">"0,6153"</f>
        <v>0,6153</v>
      </c>
      <c r="E71" s="32" t="s">
        <v>87</v>
      </c>
      <c r="F71" s="32" t="s">
        <v>29</v>
      </c>
      <c r="G71" s="31" t="s">
        <v>723</v>
      </c>
      <c r="H71" s="31" t="s">
        <v>724</v>
      </c>
      <c r="I71" s="31" t="s">
        <v>383</v>
      </c>
      <c r="J71" s="33"/>
      <c r="K71" s="34" t="str">
        <f aca="false">"155,0"</f>
        <v>155,0</v>
      </c>
      <c r="L71" s="34" t="str">
        <f aca="false">"95,3715"</f>
        <v>95,3715</v>
      </c>
      <c r="M71" s="34"/>
    </row>
    <row r="72" customFormat="false" ht="13.2" hidden="false" customHeight="false" outlineLevel="0" collapsed="false">
      <c r="A72" s="30" t="s">
        <v>743</v>
      </c>
      <c r="B72" s="31" t="s">
        <v>627</v>
      </c>
      <c r="C72" s="31" t="s">
        <v>727</v>
      </c>
      <c r="D72" s="31" t="str">
        <f aca="false">"0,6133"</f>
        <v>0,6133</v>
      </c>
      <c r="E72" s="32" t="s">
        <v>12</v>
      </c>
      <c r="F72" s="32" t="s">
        <v>744</v>
      </c>
      <c r="G72" s="31" t="s">
        <v>408</v>
      </c>
      <c r="H72" s="31" t="s">
        <v>341</v>
      </c>
      <c r="I72" s="31" t="s">
        <v>724</v>
      </c>
      <c r="J72" s="33"/>
      <c r="K72" s="34" t="str">
        <f aca="false">"152,5"</f>
        <v>152,5</v>
      </c>
      <c r="L72" s="34" t="str">
        <f aca="false">"93,5359"</f>
        <v>93,5359</v>
      </c>
      <c r="M72" s="34"/>
    </row>
    <row r="73" customFormat="false" ht="13.2" hidden="false" customHeight="false" outlineLevel="0" collapsed="false">
      <c r="A73" s="30" t="s">
        <v>745</v>
      </c>
      <c r="B73" s="31" t="s">
        <v>746</v>
      </c>
      <c r="C73" s="31" t="s">
        <v>731</v>
      </c>
      <c r="D73" s="31" t="str">
        <f aca="false">"0,6184"</f>
        <v>0,6184</v>
      </c>
      <c r="E73" s="32" t="s">
        <v>694</v>
      </c>
      <c r="F73" s="32" t="s">
        <v>695</v>
      </c>
      <c r="G73" s="31" t="s">
        <v>672</v>
      </c>
      <c r="H73" s="31" t="s">
        <v>398</v>
      </c>
      <c r="I73" s="33" t="s">
        <v>723</v>
      </c>
      <c r="J73" s="33"/>
      <c r="K73" s="34" t="str">
        <f aca="false">"142,5"</f>
        <v>142,5</v>
      </c>
      <c r="L73" s="34" t="str">
        <f aca="false">"88,1291"</f>
        <v>88,1291</v>
      </c>
      <c r="M73" s="34"/>
    </row>
    <row r="74" customFormat="false" ht="13.2" hidden="false" customHeight="false" outlineLevel="0" collapsed="false">
      <c r="A74" s="30" t="s">
        <v>747</v>
      </c>
      <c r="B74" s="31" t="s">
        <v>590</v>
      </c>
      <c r="C74" s="31" t="s">
        <v>591</v>
      </c>
      <c r="D74" s="31" t="str">
        <f aca="false">"0,6188"</f>
        <v>0,6188</v>
      </c>
      <c r="E74" s="32" t="s">
        <v>12</v>
      </c>
      <c r="F74" s="32" t="s">
        <v>29</v>
      </c>
      <c r="G74" s="33" t="s">
        <v>331</v>
      </c>
      <c r="H74" s="31" t="s">
        <v>386</v>
      </c>
      <c r="I74" s="33" t="s">
        <v>724</v>
      </c>
      <c r="J74" s="33"/>
      <c r="K74" s="34" t="str">
        <f aca="false">"140,0"</f>
        <v>140,0</v>
      </c>
      <c r="L74" s="34" t="str">
        <f aca="false">"86,6390"</f>
        <v>86,6390</v>
      </c>
      <c r="M74" s="34"/>
    </row>
    <row r="75" customFormat="false" ht="13.2" hidden="false" customHeight="false" outlineLevel="0" collapsed="false">
      <c r="A75" s="30" t="s">
        <v>748</v>
      </c>
      <c r="B75" s="31" t="s">
        <v>749</v>
      </c>
      <c r="C75" s="31" t="s">
        <v>750</v>
      </c>
      <c r="D75" s="31" t="str">
        <f aca="false">"0,6169"</f>
        <v>0,6169</v>
      </c>
      <c r="E75" s="32" t="s">
        <v>12</v>
      </c>
      <c r="F75" s="32" t="s">
        <v>29</v>
      </c>
      <c r="G75" s="33" t="s">
        <v>386</v>
      </c>
      <c r="H75" s="33" t="s">
        <v>386</v>
      </c>
      <c r="I75" s="31" t="s">
        <v>386</v>
      </c>
      <c r="J75" s="33"/>
      <c r="K75" s="34" t="str">
        <f aca="false">"140,0"</f>
        <v>140,0</v>
      </c>
      <c r="L75" s="34" t="str">
        <f aca="false">"86,3590"</f>
        <v>86,3590</v>
      </c>
      <c r="M75" s="34"/>
    </row>
    <row r="76" customFormat="false" ht="13.2" hidden="false" customHeight="false" outlineLevel="0" collapsed="false">
      <c r="A76" s="30" t="s">
        <v>751</v>
      </c>
      <c r="B76" s="31" t="s">
        <v>752</v>
      </c>
      <c r="C76" s="31" t="s">
        <v>750</v>
      </c>
      <c r="D76" s="31" t="str">
        <f aca="false">"0,6169"</f>
        <v>0,6169</v>
      </c>
      <c r="E76" s="32" t="s">
        <v>12</v>
      </c>
      <c r="F76" s="32" t="s">
        <v>382</v>
      </c>
      <c r="G76" s="33" t="s">
        <v>661</v>
      </c>
      <c r="H76" s="31" t="s">
        <v>739</v>
      </c>
      <c r="I76" s="33" t="s">
        <v>386</v>
      </c>
      <c r="J76" s="33"/>
      <c r="K76" s="34" t="str">
        <f aca="false">"132,5"</f>
        <v>132,5</v>
      </c>
      <c r="L76" s="34" t="str">
        <f aca="false">"81,7326"</f>
        <v>81,7326</v>
      </c>
      <c r="M76" s="34"/>
    </row>
    <row r="77" customFormat="false" ht="13.2" hidden="false" customHeight="false" outlineLevel="0" collapsed="false">
      <c r="A77" s="30" t="s">
        <v>753</v>
      </c>
      <c r="B77" s="31" t="s">
        <v>754</v>
      </c>
      <c r="C77" s="31" t="s">
        <v>755</v>
      </c>
      <c r="D77" s="31" t="str">
        <f aca="false">"0,6137"</f>
        <v>0,6137</v>
      </c>
      <c r="E77" s="32" t="s">
        <v>12</v>
      </c>
      <c r="F77" s="32" t="s">
        <v>382</v>
      </c>
      <c r="G77" s="33" t="s">
        <v>329</v>
      </c>
      <c r="H77" s="33" t="s">
        <v>329</v>
      </c>
      <c r="I77" s="31" t="s">
        <v>329</v>
      </c>
      <c r="J77" s="33"/>
      <c r="K77" s="34" t="str">
        <f aca="false">"125,0"</f>
        <v>125,0</v>
      </c>
      <c r="L77" s="34" t="str">
        <f aca="false">"76,7187"</f>
        <v>76,7187</v>
      </c>
      <c r="M77" s="34"/>
    </row>
    <row r="78" customFormat="false" ht="13.2" hidden="false" customHeight="false" outlineLevel="0" collapsed="false">
      <c r="A78" s="30" t="s">
        <v>291</v>
      </c>
      <c r="B78" s="31" t="s">
        <v>292</v>
      </c>
      <c r="C78" s="31" t="s">
        <v>11</v>
      </c>
      <c r="D78" s="31" t="str">
        <f aca="false">"0,6161"</f>
        <v>0,6161</v>
      </c>
      <c r="E78" s="32" t="s">
        <v>12</v>
      </c>
      <c r="F78" s="32" t="s">
        <v>293</v>
      </c>
      <c r="G78" s="31" t="s">
        <v>661</v>
      </c>
      <c r="H78" s="31" t="s">
        <v>330</v>
      </c>
      <c r="I78" s="31" t="s">
        <v>739</v>
      </c>
      <c r="J78" s="33"/>
      <c r="K78" s="34" t="str">
        <f aca="false">"132,5"</f>
        <v>132,5</v>
      </c>
      <c r="L78" s="34" t="str">
        <f aca="false">"81,6266"</f>
        <v>81,6266</v>
      </c>
      <c r="M78" s="34"/>
    </row>
    <row r="79" customFormat="false" ht="13.2" hidden="false" customHeight="false" outlineLevel="0" collapsed="false">
      <c r="A79" s="30" t="s">
        <v>756</v>
      </c>
      <c r="B79" s="31" t="s">
        <v>757</v>
      </c>
      <c r="C79" s="31" t="s">
        <v>727</v>
      </c>
      <c r="D79" s="31" t="str">
        <f aca="false">"0,6133"</f>
        <v>0,6133</v>
      </c>
      <c r="E79" s="32" t="s">
        <v>12</v>
      </c>
      <c r="F79" s="32" t="s">
        <v>29</v>
      </c>
      <c r="G79" s="31" t="s">
        <v>661</v>
      </c>
      <c r="H79" s="33" t="s">
        <v>739</v>
      </c>
      <c r="I79" s="33" t="s">
        <v>739</v>
      </c>
      <c r="J79" s="33"/>
      <c r="K79" s="34" t="str">
        <f aca="false">"120,0"</f>
        <v>120,0</v>
      </c>
      <c r="L79" s="34" t="str">
        <f aca="false">"75,0740"</f>
        <v>75,0740</v>
      </c>
      <c r="M79" s="34"/>
    </row>
    <row r="80" customFormat="false" ht="13.2" hidden="false" customHeight="false" outlineLevel="0" collapsed="false">
      <c r="A80" s="30" t="s">
        <v>758</v>
      </c>
      <c r="B80" s="31" t="s">
        <v>759</v>
      </c>
      <c r="C80" s="31" t="s">
        <v>760</v>
      </c>
      <c r="D80" s="31" t="str">
        <f aca="false">"0,6238"</f>
        <v>0,6238</v>
      </c>
      <c r="E80" s="32" t="s">
        <v>12</v>
      </c>
      <c r="F80" s="32" t="s">
        <v>761</v>
      </c>
      <c r="G80" s="33" t="s">
        <v>724</v>
      </c>
      <c r="H80" s="33" t="s">
        <v>724</v>
      </c>
      <c r="I80" s="33" t="s">
        <v>724</v>
      </c>
      <c r="J80" s="33"/>
      <c r="K80" s="34" t="str">
        <f aca="false">"0.00"</f>
        <v>0.00</v>
      </c>
      <c r="L80" s="34" t="str">
        <f aca="false">"0,0000"</f>
        <v>0,0000</v>
      </c>
      <c r="M80" s="34"/>
    </row>
    <row r="81" customFormat="false" ht="13.2" hidden="false" customHeight="false" outlineLevel="0" collapsed="false">
      <c r="A81" s="24" t="s">
        <v>762</v>
      </c>
      <c r="B81" s="25" t="s">
        <v>763</v>
      </c>
      <c r="C81" s="25" t="s">
        <v>764</v>
      </c>
      <c r="D81" s="25" t="str">
        <f aca="false">"0,6192"</f>
        <v>0,6192</v>
      </c>
      <c r="E81" s="26" t="s">
        <v>12</v>
      </c>
      <c r="F81" s="26" t="s">
        <v>765</v>
      </c>
      <c r="G81" s="25" t="s">
        <v>390</v>
      </c>
      <c r="H81" s="25" t="s">
        <v>660</v>
      </c>
      <c r="I81" s="25" t="s">
        <v>661</v>
      </c>
      <c r="J81" s="27"/>
      <c r="K81" s="28" t="str">
        <f aca="false">"120,0"</f>
        <v>120,0</v>
      </c>
      <c r="L81" s="28" t="str">
        <f aca="false">"83,9703"</f>
        <v>83,9703</v>
      </c>
      <c r="M81" s="28"/>
    </row>
    <row r="83" customFormat="false" ht="15.6" hidden="false" customHeight="false" outlineLevel="0" collapsed="false">
      <c r="A83" s="18" t="s">
        <v>19</v>
      </c>
      <c r="B83" s="18"/>
      <c r="C83" s="18"/>
      <c r="D83" s="18"/>
      <c r="E83" s="18"/>
      <c r="F83" s="18"/>
      <c r="G83" s="18"/>
      <c r="H83" s="18"/>
      <c r="I83" s="18"/>
      <c r="J83" s="18"/>
    </row>
    <row r="84" customFormat="false" ht="13.2" hidden="false" customHeight="false" outlineLevel="0" collapsed="false">
      <c r="A84" s="19" t="s">
        <v>766</v>
      </c>
      <c r="B84" s="20" t="s">
        <v>767</v>
      </c>
      <c r="C84" s="20" t="s">
        <v>509</v>
      </c>
      <c r="D84" s="20" t="str">
        <f aca="false">"0,5833"</f>
        <v>0,5833</v>
      </c>
      <c r="E84" s="21" t="s">
        <v>12</v>
      </c>
      <c r="F84" s="21" t="s">
        <v>29</v>
      </c>
      <c r="G84" s="20" t="s">
        <v>390</v>
      </c>
      <c r="H84" s="20" t="s">
        <v>328</v>
      </c>
      <c r="I84" s="20" t="s">
        <v>656</v>
      </c>
      <c r="J84" s="22"/>
      <c r="K84" s="23" t="str">
        <f aca="false">"122,5"</f>
        <v>122,5</v>
      </c>
      <c r="L84" s="23" t="str">
        <f aca="false">"71,4542"</f>
        <v>71,4542</v>
      </c>
      <c r="M84" s="23"/>
    </row>
    <row r="85" customFormat="false" ht="13.2" hidden="false" customHeight="false" outlineLevel="0" collapsed="false">
      <c r="A85" s="30" t="s">
        <v>768</v>
      </c>
      <c r="B85" s="31" t="s">
        <v>769</v>
      </c>
      <c r="C85" s="31" t="s">
        <v>28</v>
      </c>
      <c r="D85" s="31" t="str">
        <f aca="false">"0,5846"</f>
        <v>0,5846</v>
      </c>
      <c r="E85" s="32" t="s">
        <v>12</v>
      </c>
      <c r="F85" s="32" t="s">
        <v>770</v>
      </c>
      <c r="G85" s="33" t="s">
        <v>728</v>
      </c>
      <c r="H85" s="31" t="s">
        <v>728</v>
      </c>
      <c r="I85" s="31" t="s">
        <v>413</v>
      </c>
      <c r="J85" s="33"/>
      <c r="K85" s="34" t="str">
        <f aca="false">"177,5"</f>
        <v>177,5</v>
      </c>
      <c r="L85" s="34" t="str">
        <f aca="false">"103,7576"</f>
        <v>103,7576</v>
      </c>
      <c r="M85" s="34"/>
    </row>
    <row r="86" customFormat="false" ht="13.2" hidden="false" customHeight="false" outlineLevel="0" collapsed="false">
      <c r="A86" s="30" t="s">
        <v>771</v>
      </c>
      <c r="B86" s="31" t="s">
        <v>772</v>
      </c>
      <c r="C86" s="31" t="s">
        <v>773</v>
      </c>
      <c r="D86" s="31" t="str">
        <f aca="false">"0,5840"</f>
        <v>0,5840</v>
      </c>
      <c r="E86" s="32" t="s">
        <v>12</v>
      </c>
      <c r="F86" s="32" t="s">
        <v>695</v>
      </c>
      <c r="G86" s="31" t="s">
        <v>341</v>
      </c>
      <c r="H86" s="31" t="s">
        <v>724</v>
      </c>
      <c r="I86" s="33" t="s">
        <v>342</v>
      </c>
      <c r="J86" s="33"/>
      <c r="K86" s="34" t="str">
        <f aca="false">"152,5"</f>
        <v>152,5</v>
      </c>
      <c r="L86" s="34" t="str">
        <f aca="false">"89,0676"</f>
        <v>89,0676</v>
      </c>
      <c r="M86" s="34"/>
    </row>
    <row r="87" customFormat="false" ht="13.2" hidden="false" customHeight="false" outlineLevel="0" collapsed="false">
      <c r="A87" s="30" t="s">
        <v>774</v>
      </c>
      <c r="B87" s="31" t="s">
        <v>775</v>
      </c>
      <c r="C87" s="31" t="s">
        <v>776</v>
      </c>
      <c r="D87" s="31" t="str">
        <f aca="false">"0,5878"</f>
        <v>0,5878</v>
      </c>
      <c r="E87" s="32" t="s">
        <v>426</v>
      </c>
      <c r="F87" s="32" t="s">
        <v>340</v>
      </c>
      <c r="G87" s="31" t="s">
        <v>331</v>
      </c>
      <c r="H87" s="31" t="s">
        <v>398</v>
      </c>
      <c r="I87" s="33" t="s">
        <v>723</v>
      </c>
      <c r="J87" s="33"/>
      <c r="K87" s="34" t="str">
        <f aca="false">"142,5"</f>
        <v>142,5</v>
      </c>
      <c r="L87" s="34" t="str">
        <f aca="false">"83,7544"</f>
        <v>83,7544</v>
      </c>
      <c r="M87" s="34"/>
    </row>
    <row r="88" customFormat="false" ht="13.2" hidden="false" customHeight="false" outlineLevel="0" collapsed="false">
      <c r="A88" s="30" t="s">
        <v>777</v>
      </c>
      <c r="B88" s="31" t="s">
        <v>778</v>
      </c>
      <c r="C88" s="31" t="s">
        <v>779</v>
      </c>
      <c r="D88" s="31" t="str">
        <f aca="false">"0,6033"</f>
        <v>0,6033</v>
      </c>
      <c r="E88" s="32" t="s">
        <v>12</v>
      </c>
      <c r="F88" s="32" t="s">
        <v>29</v>
      </c>
      <c r="G88" s="33" t="s">
        <v>330</v>
      </c>
      <c r="H88" s="33" t="s">
        <v>386</v>
      </c>
      <c r="I88" s="33"/>
      <c r="J88" s="33"/>
      <c r="K88" s="34" t="str">
        <f aca="false">"0.00"</f>
        <v>0.00</v>
      </c>
      <c r="L88" s="34" t="str">
        <f aca="false">"0,0000"</f>
        <v>0,0000</v>
      </c>
      <c r="M88" s="34"/>
    </row>
    <row r="89" customFormat="false" ht="13.2" hidden="false" customHeight="false" outlineLevel="0" collapsed="false">
      <c r="A89" s="30" t="s">
        <v>780</v>
      </c>
      <c r="B89" s="31" t="s">
        <v>781</v>
      </c>
      <c r="C89" s="31" t="s">
        <v>28</v>
      </c>
      <c r="D89" s="31" t="str">
        <f aca="false">"0,5846"</f>
        <v>0,5846</v>
      </c>
      <c r="E89" s="32" t="s">
        <v>12</v>
      </c>
      <c r="F89" s="32" t="s">
        <v>782</v>
      </c>
      <c r="G89" s="33" t="s">
        <v>330</v>
      </c>
      <c r="H89" s="33" t="s">
        <v>386</v>
      </c>
      <c r="I89" s="33" t="s">
        <v>386</v>
      </c>
      <c r="J89" s="33"/>
      <c r="K89" s="34" t="str">
        <f aca="false">"0.00"</f>
        <v>0.00</v>
      </c>
      <c r="L89" s="34" t="str">
        <f aca="false">"0,0000"</f>
        <v>0,0000</v>
      </c>
      <c r="M89" s="34"/>
    </row>
    <row r="90" customFormat="false" ht="13.2" hidden="false" customHeight="false" outlineLevel="0" collapsed="false">
      <c r="A90" s="30" t="s">
        <v>783</v>
      </c>
      <c r="B90" s="31" t="s">
        <v>784</v>
      </c>
      <c r="C90" s="31" t="s">
        <v>174</v>
      </c>
      <c r="D90" s="31" t="str">
        <f aca="false">"0,5902"</f>
        <v>0,5902</v>
      </c>
      <c r="E90" s="32" t="s">
        <v>12</v>
      </c>
      <c r="F90" s="32" t="s">
        <v>29</v>
      </c>
      <c r="G90" s="31" t="s">
        <v>408</v>
      </c>
      <c r="H90" s="31" t="s">
        <v>383</v>
      </c>
      <c r="I90" s="31" t="s">
        <v>349</v>
      </c>
      <c r="J90" s="33"/>
      <c r="K90" s="34" t="str">
        <f aca="false">"160,0"</f>
        <v>160,0</v>
      </c>
      <c r="L90" s="34" t="str">
        <f aca="false">"97,3594"</f>
        <v>97,3594</v>
      </c>
      <c r="M90" s="34"/>
    </row>
    <row r="91" customFormat="false" ht="13.2" hidden="false" customHeight="false" outlineLevel="0" collapsed="false">
      <c r="A91" s="30" t="s">
        <v>785</v>
      </c>
      <c r="B91" s="31" t="s">
        <v>786</v>
      </c>
      <c r="C91" s="31" t="s">
        <v>787</v>
      </c>
      <c r="D91" s="31" t="str">
        <f aca="false">"0,5838"</f>
        <v>0,5838</v>
      </c>
      <c r="E91" s="32" t="s">
        <v>140</v>
      </c>
      <c r="F91" s="32" t="s">
        <v>788</v>
      </c>
      <c r="G91" s="31" t="s">
        <v>341</v>
      </c>
      <c r="H91" s="31" t="s">
        <v>384</v>
      </c>
      <c r="I91" s="33" t="s">
        <v>342</v>
      </c>
      <c r="J91" s="33"/>
      <c r="K91" s="34" t="str">
        <f aca="false">"157,5"</f>
        <v>157,5</v>
      </c>
      <c r="L91" s="34" t="str">
        <f aca="false">"95,9023"</f>
        <v>95,9023</v>
      </c>
      <c r="M91" s="34"/>
    </row>
    <row r="92" customFormat="false" ht="13.2" hidden="false" customHeight="false" outlineLevel="0" collapsed="false">
      <c r="A92" s="30" t="s">
        <v>789</v>
      </c>
      <c r="B92" s="31" t="s">
        <v>790</v>
      </c>
      <c r="C92" s="31" t="s">
        <v>791</v>
      </c>
      <c r="D92" s="31" t="str">
        <f aca="false">"0,6086"</f>
        <v>0,6086</v>
      </c>
      <c r="E92" s="32" t="s">
        <v>12</v>
      </c>
      <c r="F92" s="32" t="s">
        <v>29</v>
      </c>
      <c r="G92" s="33" t="s">
        <v>660</v>
      </c>
      <c r="H92" s="31" t="s">
        <v>329</v>
      </c>
      <c r="I92" s="33" t="s">
        <v>386</v>
      </c>
      <c r="J92" s="33"/>
      <c r="K92" s="34" t="str">
        <f aca="false">"125,0"</f>
        <v>125,0</v>
      </c>
      <c r="L92" s="34" t="str">
        <f aca="false">"77,5901"</f>
        <v>77,5901</v>
      </c>
      <c r="M92" s="34"/>
    </row>
    <row r="93" customFormat="false" ht="13.2" hidden="false" customHeight="false" outlineLevel="0" collapsed="false">
      <c r="A93" s="30" t="s">
        <v>792</v>
      </c>
      <c r="B93" s="31" t="s">
        <v>793</v>
      </c>
      <c r="C93" s="31" t="s">
        <v>794</v>
      </c>
      <c r="D93" s="31" t="str">
        <f aca="false">"0,5871"</f>
        <v>0,5871</v>
      </c>
      <c r="E93" s="32" t="s">
        <v>87</v>
      </c>
      <c r="F93" s="32" t="s">
        <v>29</v>
      </c>
      <c r="G93" s="31" t="s">
        <v>384</v>
      </c>
      <c r="H93" s="31" t="s">
        <v>342</v>
      </c>
      <c r="I93" s="31" t="s">
        <v>409</v>
      </c>
      <c r="J93" s="33"/>
      <c r="K93" s="34" t="str">
        <f aca="false">"165,0"</f>
        <v>165,0</v>
      </c>
      <c r="L93" s="34" t="str">
        <f aca="false">"102,2081"</f>
        <v>102,2081</v>
      </c>
      <c r="M93" s="34"/>
    </row>
    <row r="94" customFormat="false" ht="13.2" hidden="false" customHeight="false" outlineLevel="0" collapsed="false">
      <c r="A94" s="30" t="s">
        <v>795</v>
      </c>
      <c r="B94" s="31" t="s">
        <v>796</v>
      </c>
      <c r="C94" s="31" t="s">
        <v>797</v>
      </c>
      <c r="D94" s="31" t="str">
        <f aca="false">"0,5850"</f>
        <v>0,5850</v>
      </c>
      <c r="E94" s="32" t="s">
        <v>12</v>
      </c>
      <c r="F94" s="32" t="s">
        <v>798</v>
      </c>
      <c r="G94" s="31" t="s">
        <v>690</v>
      </c>
      <c r="H94" s="31" t="s">
        <v>350</v>
      </c>
      <c r="I94" s="33" t="s">
        <v>728</v>
      </c>
      <c r="J94" s="33"/>
      <c r="K94" s="34" t="str">
        <f aca="false">"172,5"</f>
        <v>172,5</v>
      </c>
      <c r="L94" s="34" t="str">
        <f aca="false">"125,7477"</f>
        <v>125,7477</v>
      </c>
      <c r="M94" s="34"/>
    </row>
    <row r="95" customFormat="false" ht="13.2" hidden="false" customHeight="false" outlineLevel="0" collapsed="false">
      <c r="A95" s="24" t="s">
        <v>799</v>
      </c>
      <c r="B95" s="25" t="s">
        <v>800</v>
      </c>
      <c r="C95" s="25" t="s">
        <v>509</v>
      </c>
      <c r="D95" s="25" t="str">
        <f aca="false">"0,5833"</f>
        <v>0,5833</v>
      </c>
      <c r="E95" s="26" t="s">
        <v>12</v>
      </c>
      <c r="F95" s="26" t="s">
        <v>29</v>
      </c>
      <c r="G95" s="25" t="s">
        <v>386</v>
      </c>
      <c r="H95" s="25" t="s">
        <v>723</v>
      </c>
      <c r="I95" s="25" t="s">
        <v>724</v>
      </c>
      <c r="J95" s="27"/>
      <c r="K95" s="28" t="str">
        <f aca="false">"152,5"</f>
        <v>152,5</v>
      </c>
      <c r="L95" s="28" t="str">
        <f aca="false">"108,9677"</f>
        <v>108,9677</v>
      </c>
      <c r="M95" s="28"/>
    </row>
    <row r="97" customFormat="false" ht="15.6" hidden="false" customHeight="false" outlineLevel="0" collapsed="false">
      <c r="A97" s="18" t="s">
        <v>32</v>
      </c>
      <c r="B97" s="18"/>
      <c r="C97" s="18"/>
      <c r="D97" s="18"/>
      <c r="E97" s="18"/>
      <c r="F97" s="18"/>
      <c r="G97" s="18"/>
      <c r="H97" s="18"/>
      <c r="I97" s="18"/>
      <c r="J97" s="18"/>
    </row>
    <row r="98" customFormat="false" ht="13.2" hidden="false" customHeight="false" outlineLevel="0" collapsed="false">
      <c r="A98" s="19" t="s">
        <v>801</v>
      </c>
      <c r="B98" s="20" t="s">
        <v>802</v>
      </c>
      <c r="C98" s="20" t="s">
        <v>803</v>
      </c>
      <c r="D98" s="20" t="str">
        <f aca="false">"0,5640"</f>
        <v>0,5640</v>
      </c>
      <c r="E98" s="21" t="s">
        <v>12</v>
      </c>
      <c r="F98" s="21" t="s">
        <v>804</v>
      </c>
      <c r="G98" s="20" t="s">
        <v>343</v>
      </c>
      <c r="H98" s="20" t="s">
        <v>805</v>
      </c>
      <c r="I98" s="20" t="s">
        <v>430</v>
      </c>
      <c r="J98" s="22"/>
      <c r="K98" s="23" t="str">
        <f aca="false">"200,0"</f>
        <v>200,0</v>
      </c>
      <c r="L98" s="23" t="str">
        <f aca="false">"112,7900"</f>
        <v>112,7900</v>
      </c>
      <c r="M98" s="23"/>
    </row>
    <row r="99" customFormat="false" ht="13.2" hidden="false" customHeight="false" outlineLevel="0" collapsed="false">
      <c r="A99" s="30" t="s">
        <v>806</v>
      </c>
      <c r="B99" s="31" t="s">
        <v>807</v>
      </c>
      <c r="C99" s="31" t="s">
        <v>808</v>
      </c>
      <c r="D99" s="31" t="str">
        <f aca="false">"0,5698"</f>
        <v>0,5698</v>
      </c>
      <c r="E99" s="32" t="s">
        <v>12</v>
      </c>
      <c r="F99" s="32" t="s">
        <v>29</v>
      </c>
      <c r="G99" s="31" t="s">
        <v>384</v>
      </c>
      <c r="H99" s="33" t="s">
        <v>690</v>
      </c>
      <c r="I99" s="33" t="s">
        <v>690</v>
      </c>
      <c r="J99" s="33"/>
      <c r="K99" s="34" t="str">
        <f aca="false">"157,5"</f>
        <v>157,5</v>
      </c>
      <c r="L99" s="34" t="str">
        <f aca="false">"89,7356"</f>
        <v>89,7356</v>
      </c>
      <c r="M99" s="34" t="s">
        <v>809</v>
      </c>
    </row>
    <row r="100" customFormat="false" ht="13.2" hidden="false" customHeight="false" outlineLevel="0" collapsed="false">
      <c r="A100" s="30" t="s">
        <v>810</v>
      </c>
      <c r="B100" s="31" t="s">
        <v>811</v>
      </c>
      <c r="C100" s="31" t="s">
        <v>812</v>
      </c>
      <c r="D100" s="31" t="str">
        <f aca="false">"0,5658"</f>
        <v>0,5658</v>
      </c>
      <c r="E100" s="32" t="s">
        <v>694</v>
      </c>
      <c r="F100" s="32" t="s">
        <v>695</v>
      </c>
      <c r="G100" s="31" t="s">
        <v>343</v>
      </c>
      <c r="H100" s="33" t="s">
        <v>430</v>
      </c>
      <c r="I100" s="33" t="s">
        <v>430</v>
      </c>
      <c r="J100" s="33"/>
      <c r="K100" s="34" t="str">
        <f aca="false">"185,0"</f>
        <v>185,0</v>
      </c>
      <c r="L100" s="34" t="str">
        <f aca="false">"116,5011"</f>
        <v>116,5011</v>
      </c>
      <c r="M100" s="34"/>
    </row>
    <row r="101" customFormat="false" ht="13.2" hidden="false" customHeight="false" outlineLevel="0" collapsed="false">
      <c r="A101" s="30" t="s">
        <v>813</v>
      </c>
      <c r="B101" s="31" t="s">
        <v>814</v>
      </c>
      <c r="C101" s="31" t="s">
        <v>815</v>
      </c>
      <c r="D101" s="31" t="str">
        <f aca="false">"0,5684"</f>
        <v>0,5684</v>
      </c>
      <c r="E101" s="32" t="s">
        <v>12</v>
      </c>
      <c r="F101" s="32" t="s">
        <v>29</v>
      </c>
      <c r="G101" s="31" t="s">
        <v>341</v>
      </c>
      <c r="H101" s="33" t="s">
        <v>383</v>
      </c>
      <c r="I101" s="33" t="s">
        <v>349</v>
      </c>
      <c r="J101" s="33"/>
      <c r="K101" s="34" t="str">
        <f aca="false">"150,0"</f>
        <v>150,0</v>
      </c>
      <c r="L101" s="34" t="str">
        <f aca="false">"97,8018"</f>
        <v>97,8018</v>
      </c>
      <c r="M101" s="34"/>
    </row>
    <row r="102" customFormat="false" ht="13.2" hidden="false" customHeight="false" outlineLevel="0" collapsed="false">
      <c r="A102" s="30" t="s">
        <v>816</v>
      </c>
      <c r="B102" s="31" t="s">
        <v>817</v>
      </c>
      <c r="C102" s="31" t="s">
        <v>818</v>
      </c>
      <c r="D102" s="31" t="str">
        <f aca="false">"0,5667"</f>
        <v>0,5667</v>
      </c>
      <c r="E102" s="32" t="s">
        <v>819</v>
      </c>
      <c r="F102" s="32" t="s">
        <v>29</v>
      </c>
      <c r="G102" s="33" t="s">
        <v>402</v>
      </c>
      <c r="H102" s="33" t="s">
        <v>402</v>
      </c>
      <c r="I102" s="33" t="s">
        <v>402</v>
      </c>
      <c r="J102" s="33"/>
      <c r="K102" s="34" t="str">
        <f aca="false">"0.00"</f>
        <v>0.00</v>
      </c>
      <c r="L102" s="34" t="str">
        <f aca="false">"0,0000"</f>
        <v>0,0000</v>
      </c>
      <c r="M102" s="34"/>
    </row>
    <row r="103" customFormat="false" ht="13.2" hidden="false" customHeight="false" outlineLevel="0" collapsed="false">
      <c r="A103" s="24" t="s">
        <v>297</v>
      </c>
      <c r="B103" s="25" t="s">
        <v>298</v>
      </c>
      <c r="C103" s="25" t="s">
        <v>299</v>
      </c>
      <c r="D103" s="25" t="str">
        <f aca="false">"0,5695"</f>
        <v>0,5695</v>
      </c>
      <c r="E103" s="26" t="s">
        <v>12</v>
      </c>
      <c r="F103" s="26" t="s">
        <v>300</v>
      </c>
      <c r="G103" s="25" t="s">
        <v>331</v>
      </c>
      <c r="H103" s="25" t="s">
        <v>386</v>
      </c>
      <c r="I103" s="25" t="s">
        <v>398</v>
      </c>
      <c r="J103" s="27"/>
      <c r="K103" s="28" t="str">
        <f aca="false">"142,5"</f>
        <v>142,5</v>
      </c>
      <c r="L103" s="28" t="str">
        <f aca="false">"106,7265"</f>
        <v>106,7265</v>
      </c>
      <c r="M103" s="28"/>
    </row>
    <row r="105" customFormat="false" ht="15.6" hidden="false" customHeight="false" outlineLevel="0" collapsed="false">
      <c r="A105" s="18" t="s">
        <v>38</v>
      </c>
      <c r="B105" s="18"/>
      <c r="C105" s="18"/>
      <c r="D105" s="18"/>
      <c r="E105" s="18"/>
      <c r="F105" s="18"/>
      <c r="G105" s="18"/>
      <c r="H105" s="18"/>
      <c r="I105" s="18"/>
      <c r="J105" s="18"/>
    </row>
    <row r="106" customFormat="false" ht="13.2" hidden="false" customHeight="false" outlineLevel="0" collapsed="false">
      <c r="A106" s="19" t="s">
        <v>820</v>
      </c>
      <c r="B106" s="20" t="s">
        <v>821</v>
      </c>
      <c r="C106" s="20" t="s">
        <v>822</v>
      </c>
      <c r="D106" s="20" t="str">
        <f aca="false">"0,5482"</f>
        <v>0,5482</v>
      </c>
      <c r="E106" s="21" t="s">
        <v>12</v>
      </c>
      <c r="F106" s="21" t="s">
        <v>29</v>
      </c>
      <c r="G106" s="20" t="s">
        <v>430</v>
      </c>
      <c r="H106" s="20" t="s">
        <v>423</v>
      </c>
      <c r="I106" s="20" t="s">
        <v>823</v>
      </c>
      <c r="J106" s="22"/>
      <c r="K106" s="23" t="str">
        <f aca="false">"212,5"</f>
        <v>212,5</v>
      </c>
      <c r="L106" s="23" t="str">
        <f aca="false">"116,4925"</f>
        <v>116,4925</v>
      </c>
      <c r="M106" s="23"/>
    </row>
    <row r="107" customFormat="false" ht="13.2" hidden="false" customHeight="false" outlineLevel="0" collapsed="false">
      <c r="A107" s="30" t="s">
        <v>824</v>
      </c>
      <c r="B107" s="31" t="s">
        <v>825</v>
      </c>
      <c r="C107" s="31" t="s">
        <v>826</v>
      </c>
      <c r="D107" s="31" t="str">
        <f aca="false">"0,5455"</f>
        <v>0,5455</v>
      </c>
      <c r="E107" s="32" t="s">
        <v>12</v>
      </c>
      <c r="F107" s="32" t="s">
        <v>788</v>
      </c>
      <c r="G107" s="31" t="s">
        <v>343</v>
      </c>
      <c r="H107" s="33" t="s">
        <v>827</v>
      </c>
      <c r="I107" s="31" t="s">
        <v>827</v>
      </c>
      <c r="J107" s="33"/>
      <c r="K107" s="34" t="str">
        <f aca="false">"192,5"</f>
        <v>192,5</v>
      </c>
      <c r="L107" s="34" t="str">
        <f aca="false">"105,0087"</f>
        <v>105,0087</v>
      </c>
      <c r="M107" s="34"/>
    </row>
    <row r="108" customFormat="false" ht="13.2" hidden="false" customHeight="false" outlineLevel="0" collapsed="false">
      <c r="A108" s="30" t="s">
        <v>828</v>
      </c>
      <c r="B108" s="31" t="s">
        <v>786</v>
      </c>
      <c r="C108" s="31" t="s">
        <v>826</v>
      </c>
      <c r="D108" s="31" t="str">
        <f aca="false">"0,5455"</f>
        <v>0,5455</v>
      </c>
      <c r="E108" s="32" t="s">
        <v>12</v>
      </c>
      <c r="F108" s="32" t="s">
        <v>788</v>
      </c>
      <c r="G108" s="31" t="s">
        <v>343</v>
      </c>
      <c r="H108" s="33" t="s">
        <v>827</v>
      </c>
      <c r="I108" s="31" t="s">
        <v>827</v>
      </c>
      <c r="J108" s="33"/>
      <c r="K108" s="34" t="str">
        <f aca="false">"192,5"</f>
        <v>192,5</v>
      </c>
      <c r="L108" s="34" t="str">
        <f aca="false">"109,5241"</f>
        <v>109,5241</v>
      </c>
      <c r="M108" s="34"/>
    </row>
    <row r="109" customFormat="false" ht="13.2" hidden="false" customHeight="false" outlineLevel="0" collapsed="false">
      <c r="A109" s="24" t="s">
        <v>820</v>
      </c>
      <c r="B109" s="25" t="s">
        <v>829</v>
      </c>
      <c r="C109" s="25" t="s">
        <v>822</v>
      </c>
      <c r="D109" s="25" t="str">
        <f aca="false">"0,5482"</f>
        <v>0,5482</v>
      </c>
      <c r="E109" s="26" t="s">
        <v>12</v>
      </c>
      <c r="F109" s="26" t="s">
        <v>29</v>
      </c>
      <c r="G109" s="25" t="s">
        <v>430</v>
      </c>
      <c r="H109" s="25" t="s">
        <v>423</v>
      </c>
      <c r="I109" s="25" t="s">
        <v>823</v>
      </c>
      <c r="J109" s="27"/>
      <c r="K109" s="28" t="str">
        <f aca="false">"212,5"</f>
        <v>212,5</v>
      </c>
      <c r="L109" s="28" t="str">
        <f aca="false">"133,6169"</f>
        <v>133,6169</v>
      </c>
      <c r="M109" s="28"/>
    </row>
    <row r="111" customFormat="false" ht="15.6" hidden="false" customHeight="false" outlineLevel="0" collapsed="false">
      <c r="A111" s="18" t="s">
        <v>830</v>
      </c>
      <c r="B111" s="18"/>
      <c r="C111" s="18"/>
      <c r="D111" s="18"/>
      <c r="E111" s="18"/>
      <c r="F111" s="18"/>
      <c r="G111" s="18"/>
      <c r="H111" s="18"/>
      <c r="I111" s="18"/>
      <c r="J111" s="18"/>
    </row>
    <row r="112" customFormat="false" ht="13.2" hidden="false" customHeight="false" outlineLevel="0" collapsed="false">
      <c r="A112" s="19" t="s">
        <v>831</v>
      </c>
      <c r="B112" s="20" t="s">
        <v>832</v>
      </c>
      <c r="C112" s="20" t="s">
        <v>833</v>
      </c>
      <c r="D112" s="20" t="str">
        <f aca="false">"0,5178"</f>
        <v>0,5178</v>
      </c>
      <c r="E112" s="21" t="s">
        <v>12</v>
      </c>
      <c r="F112" s="21" t="s">
        <v>29</v>
      </c>
      <c r="G112" s="20" t="s">
        <v>422</v>
      </c>
      <c r="H112" s="22" t="s">
        <v>559</v>
      </c>
      <c r="I112" s="22" t="s">
        <v>559</v>
      </c>
      <c r="J112" s="22"/>
      <c r="K112" s="23" t="str">
        <f aca="false">"205,0"</f>
        <v>205,0</v>
      </c>
      <c r="L112" s="23" t="str">
        <f aca="false">"106,1470"</f>
        <v>106,1470</v>
      </c>
      <c r="M112" s="23" t="s">
        <v>834</v>
      </c>
    </row>
    <row r="113" customFormat="false" ht="13.2" hidden="false" customHeight="false" outlineLevel="0" collapsed="false">
      <c r="A113" s="24" t="s">
        <v>835</v>
      </c>
      <c r="B113" s="25" t="s">
        <v>836</v>
      </c>
      <c r="C113" s="25" t="s">
        <v>837</v>
      </c>
      <c r="D113" s="25" t="str">
        <f aca="false">"0,5306"</f>
        <v>0,5306</v>
      </c>
      <c r="E113" s="26" t="s">
        <v>87</v>
      </c>
      <c r="F113" s="26" t="s">
        <v>29</v>
      </c>
      <c r="G113" s="25" t="s">
        <v>402</v>
      </c>
      <c r="H113" s="25" t="s">
        <v>728</v>
      </c>
      <c r="I113" s="25" t="s">
        <v>354</v>
      </c>
      <c r="J113" s="27"/>
      <c r="K113" s="28" t="str">
        <f aca="false">"180,0"</f>
        <v>180,0</v>
      </c>
      <c r="L113" s="28" t="str">
        <f aca="false">"95,5152"</f>
        <v>95,5152</v>
      </c>
      <c r="M113" s="28"/>
    </row>
    <row r="115" customFormat="false" ht="15" hidden="false" customHeight="false" outlineLevel="0" collapsed="false">
      <c r="E115" s="35" t="s">
        <v>56</v>
      </c>
    </row>
    <row r="116" customFormat="false" ht="15" hidden="false" customHeight="false" outlineLevel="0" collapsed="false">
      <c r="E116" s="35" t="s">
        <v>57</v>
      </c>
    </row>
    <row r="117" customFormat="false" ht="15" hidden="false" customHeight="false" outlineLevel="0" collapsed="false">
      <c r="E117" s="35" t="s">
        <v>58</v>
      </c>
    </row>
    <row r="118" customFormat="false" ht="13.2" hidden="false" customHeight="false" outlineLevel="0" collapsed="false">
      <c r="E118" s="3" t="s">
        <v>59</v>
      </c>
    </row>
    <row r="119" customFormat="false" ht="13.2" hidden="false" customHeight="false" outlineLevel="0" collapsed="false">
      <c r="E119" s="3" t="s">
        <v>60</v>
      </c>
    </row>
    <row r="120" customFormat="false" ht="13.2" hidden="false" customHeight="false" outlineLevel="0" collapsed="false">
      <c r="E120" s="3" t="s">
        <v>61</v>
      </c>
    </row>
    <row r="123" customFormat="false" ht="17.4" hidden="false" customHeight="false" outlineLevel="0" collapsed="false">
      <c r="A123" s="36" t="s">
        <v>62</v>
      </c>
      <c r="B123" s="37"/>
    </row>
    <row r="124" customFormat="false" ht="15.6" hidden="false" customHeight="false" outlineLevel="0" collapsed="false">
      <c r="A124" s="38" t="s">
        <v>182</v>
      </c>
      <c r="B124" s="18"/>
    </row>
    <row r="125" customFormat="false" ht="14.4" hidden="false" customHeight="false" outlineLevel="0" collapsed="false">
      <c r="A125" s="39"/>
      <c r="B125" s="40" t="s">
        <v>114</v>
      </c>
    </row>
    <row r="126" customFormat="false" ht="13.8" hidden="false" customHeight="false" outlineLevel="0" collapsed="false">
      <c r="A126" s="41" t="s">
        <v>1</v>
      </c>
      <c r="B126" s="41" t="s">
        <v>65</v>
      </c>
      <c r="C126" s="41" t="s">
        <v>66</v>
      </c>
      <c r="D126" s="41" t="s">
        <v>67</v>
      </c>
      <c r="E126" s="41" t="s">
        <v>4</v>
      </c>
    </row>
    <row r="127" customFormat="false" ht="13.2" hidden="false" customHeight="false" outlineLevel="0" collapsed="false">
      <c r="A127" s="42" t="s">
        <v>838</v>
      </c>
      <c r="B127" s="2" t="s">
        <v>530</v>
      </c>
      <c r="C127" s="2" t="s">
        <v>250</v>
      </c>
      <c r="D127" s="2" t="s">
        <v>149</v>
      </c>
      <c r="E127" s="1" t="s">
        <v>839</v>
      </c>
    </row>
    <row r="129" customFormat="false" ht="14.4" hidden="false" customHeight="false" outlineLevel="0" collapsed="false">
      <c r="A129" s="39"/>
      <c r="B129" s="40" t="s">
        <v>309</v>
      </c>
    </row>
    <row r="130" customFormat="false" ht="13.8" hidden="false" customHeight="false" outlineLevel="0" collapsed="false">
      <c r="A130" s="41" t="s">
        <v>1</v>
      </c>
      <c r="B130" s="41" t="s">
        <v>65</v>
      </c>
      <c r="C130" s="41" t="s">
        <v>66</v>
      </c>
      <c r="D130" s="41" t="s">
        <v>67</v>
      </c>
      <c r="E130" s="41" t="s">
        <v>4</v>
      </c>
    </row>
    <row r="131" customFormat="false" ht="13.2" hidden="false" customHeight="false" outlineLevel="0" collapsed="false">
      <c r="A131" s="42" t="s">
        <v>840</v>
      </c>
      <c r="B131" s="2" t="s">
        <v>311</v>
      </c>
      <c r="C131" s="2" t="s">
        <v>188</v>
      </c>
      <c r="D131" s="2" t="s">
        <v>285</v>
      </c>
      <c r="E131" s="1" t="s">
        <v>841</v>
      </c>
    </row>
    <row r="133" customFormat="false" ht="14.4" hidden="false" customHeight="false" outlineLevel="0" collapsed="false">
      <c r="A133" s="39"/>
      <c r="B133" s="40" t="s">
        <v>64</v>
      </c>
    </row>
    <row r="134" customFormat="false" ht="13.8" hidden="false" customHeight="false" outlineLevel="0" collapsed="false">
      <c r="A134" s="41" t="s">
        <v>1</v>
      </c>
      <c r="B134" s="41" t="s">
        <v>65</v>
      </c>
      <c r="C134" s="41" t="s">
        <v>66</v>
      </c>
      <c r="D134" s="41" t="s">
        <v>67</v>
      </c>
      <c r="E134" s="41" t="s">
        <v>4</v>
      </c>
    </row>
    <row r="135" customFormat="false" ht="13.2" hidden="false" customHeight="false" outlineLevel="0" collapsed="false">
      <c r="A135" s="42" t="s">
        <v>842</v>
      </c>
      <c r="B135" s="2" t="s">
        <v>64</v>
      </c>
      <c r="C135" s="2" t="s">
        <v>247</v>
      </c>
      <c r="D135" s="2" t="s">
        <v>390</v>
      </c>
      <c r="E135" s="1" t="s">
        <v>843</v>
      </c>
    </row>
    <row r="136" customFormat="false" ht="13.2" hidden="false" customHeight="false" outlineLevel="0" collapsed="false">
      <c r="A136" s="42" t="s">
        <v>301</v>
      </c>
      <c r="B136" s="2" t="s">
        <v>64</v>
      </c>
      <c r="C136" s="2" t="s">
        <v>188</v>
      </c>
      <c r="D136" s="2" t="s">
        <v>102</v>
      </c>
      <c r="E136" s="1" t="s">
        <v>844</v>
      </c>
    </row>
    <row r="137" customFormat="false" ht="13.2" hidden="false" customHeight="false" outlineLevel="0" collapsed="false">
      <c r="A137" s="42" t="s">
        <v>845</v>
      </c>
      <c r="B137" s="2" t="s">
        <v>64</v>
      </c>
      <c r="C137" s="2" t="s">
        <v>250</v>
      </c>
      <c r="D137" s="2" t="s">
        <v>155</v>
      </c>
      <c r="E137" s="1" t="s">
        <v>846</v>
      </c>
    </row>
    <row r="138" customFormat="false" ht="13.2" hidden="false" customHeight="false" outlineLevel="0" collapsed="false">
      <c r="A138" s="42" t="s">
        <v>445</v>
      </c>
      <c r="B138" s="2" t="s">
        <v>64</v>
      </c>
      <c r="C138" s="2" t="s">
        <v>446</v>
      </c>
      <c r="D138" s="2" t="s">
        <v>284</v>
      </c>
      <c r="E138" s="1" t="s">
        <v>847</v>
      </c>
    </row>
    <row r="139" customFormat="false" ht="13.2" hidden="false" customHeight="false" outlineLevel="0" collapsed="false">
      <c r="A139" s="42" t="s">
        <v>848</v>
      </c>
      <c r="B139" s="2" t="s">
        <v>64</v>
      </c>
      <c r="C139" s="2" t="s">
        <v>247</v>
      </c>
      <c r="D139" s="2" t="s">
        <v>88</v>
      </c>
      <c r="E139" s="1" t="s">
        <v>849</v>
      </c>
    </row>
    <row r="140" customFormat="false" ht="13.2" hidden="false" customHeight="false" outlineLevel="0" collapsed="false">
      <c r="A140" s="42" t="s">
        <v>850</v>
      </c>
      <c r="B140" s="2" t="s">
        <v>64</v>
      </c>
      <c r="C140" s="2" t="s">
        <v>446</v>
      </c>
      <c r="D140" s="2" t="s">
        <v>284</v>
      </c>
      <c r="E140" s="1" t="s">
        <v>851</v>
      </c>
    </row>
    <row r="141" customFormat="false" ht="13.2" hidden="false" customHeight="false" outlineLevel="0" collapsed="false">
      <c r="A141" s="42" t="s">
        <v>852</v>
      </c>
      <c r="B141" s="2" t="s">
        <v>64</v>
      </c>
      <c r="C141" s="2" t="s">
        <v>247</v>
      </c>
      <c r="D141" s="2" t="s">
        <v>240</v>
      </c>
      <c r="E141" s="1" t="s">
        <v>853</v>
      </c>
    </row>
    <row r="142" customFormat="false" ht="13.2" hidden="false" customHeight="false" outlineLevel="0" collapsed="false">
      <c r="A142" s="42" t="s">
        <v>854</v>
      </c>
      <c r="B142" s="2" t="s">
        <v>64</v>
      </c>
      <c r="C142" s="2" t="s">
        <v>184</v>
      </c>
      <c r="D142" s="2" t="s">
        <v>284</v>
      </c>
      <c r="E142" s="1" t="s">
        <v>855</v>
      </c>
    </row>
    <row r="143" customFormat="false" ht="13.2" hidden="false" customHeight="false" outlineLevel="0" collapsed="false">
      <c r="A143" s="42" t="s">
        <v>856</v>
      </c>
      <c r="B143" s="2" t="s">
        <v>64</v>
      </c>
      <c r="C143" s="2" t="s">
        <v>247</v>
      </c>
      <c r="D143" s="2" t="s">
        <v>230</v>
      </c>
      <c r="E143" s="1" t="s">
        <v>857</v>
      </c>
    </row>
    <row r="144" customFormat="false" ht="13.2" hidden="false" customHeight="false" outlineLevel="0" collapsed="false">
      <c r="A144" s="42" t="s">
        <v>858</v>
      </c>
      <c r="B144" s="2" t="s">
        <v>64</v>
      </c>
      <c r="C144" s="2" t="s">
        <v>124</v>
      </c>
      <c r="D144" s="2" t="s">
        <v>141</v>
      </c>
      <c r="E144" s="1" t="s">
        <v>859</v>
      </c>
    </row>
    <row r="146" customFormat="false" ht="14.4" hidden="false" customHeight="false" outlineLevel="0" collapsed="false">
      <c r="A146" s="39"/>
      <c r="B146" s="40" t="s">
        <v>130</v>
      </c>
    </row>
    <row r="147" customFormat="false" ht="13.8" hidden="false" customHeight="false" outlineLevel="0" collapsed="false">
      <c r="A147" s="41" t="s">
        <v>1</v>
      </c>
      <c r="B147" s="41" t="s">
        <v>65</v>
      </c>
      <c r="C147" s="41" t="s">
        <v>66</v>
      </c>
      <c r="D147" s="41" t="s">
        <v>67</v>
      </c>
      <c r="E147" s="41" t="s">
        <v>4</v>
      </c>
    </row>
    <row r="148" customFormat="false" ht="13.2" hidden="false" customHeight="false" outlineLevel="0" collapsed="false">
      <c r="A148" s="42" t="s">
        <v>303</v>
      </c>
      <c r="B148" s="2" t="s">
        <v>304</v>
      </c>
      <c r="C148" s="2" t="s">
        <v>124</v>
      </c>
      <c r="D148" s="2" t="s">
        <v>647</v>
      </c>
      <c r="E148" s="1" t="s">
        <v>860</v>
      </c>
    </row>
    <row r="149" customFormat="false" ht="13.2" hidden="false" customHeight="false" outlineLevel="0" collapsed="false">
      <c r="A149" s="42" t="s">
        <v>861</v>
      </c>
      <c r="B149" s="2" t="s">
        <v>551</v>
      </c>
      <c r="C149" s="2" t="s">
        <v>247</v>
      </c>
      <c r="D149" s="2" t="s">
        <v>272</v>
      </c>
      <c r="E149" s="1" t="s">
        <v>862</v>
      </c>
    </row>
    <row r="152" customFormat="false" ht="15.6" hidden="false" customHeight="false" outlineLevel="0" collapsed="false">
      <c r="A152" s="38" t="s">
        <v>63</v>
      </c>
      <c r="B152" s="18"/>
    </row>
    <row r="153" customFormat="false" ht="14.4" hidden="false" customHeight="false" outlineLevel="0" collapsed="false">
      <c r="A153" s="39"/>
      <c r="B153" s="40" t="s">
        <v>114</v>
      </c>
    </row>
    <row r="154" customFormat="false" ht="13.8" hidden="false" customHeight="false" outlineLevel="0" collapsed="false">
      <c r="A154" s="41" t="s">
        <v>1</v>
      </c>
      <c r="B154" s="41" t="s">
        <v>65</v>
      </c>
      <c r="C154" s="41" t="s">
        <v>66</v>
      </c>
      <c r="D154" s="41" t="s">
        <v>67</v>
      </c>
      <c r="E154" s="41" t="s">
        <v>4</v>
      </c>
    </row>
    <row r="155" customFormat="false" ht="13.2" hidden="false" customHeight="false" outlineLevel="0" collapsed="false">
      <c r="A155" s="42" t="s">
        <v>306</v>
      </c>
      <c r="B155" s="2" t="s">
        <v>307</v>
      </c>
      <c r="C155" s="2" t="s">
        <v>124</v>
      </c>
      <c r="D155" s="2" t="s">
        <v>661</v>
      </c>
      <c r="E155" s="1" t="s">
        <v>863</v>
      </c>
    </row>
    <row r="156" customFormat="false" ht="13.2" hidden="false" customHeight="false" outlineLevel="0" collapsed="false">
      <c r="A156" s="42" t="s">
        <v>864</v>
      </c>
      <c r="B156" s="2" t="s">
        <v>533</v>
      </c>
      <c r="C156" s="2" t="s">
        <v>120</v>
      </c>
      <c r="D156" s="2" t="s">
        <v>328</v>
      </c>
      <c r="E156" s="1" t="s">
        <v>865</v>
      </c>
    </row>
    <row r="158" customFormat="false" ht="14.4" hidden="false" customHeight="false" outlineLevel="0" collapsed="false">
      <c r="A158" s="39"/>
      <c r="B158" s="40" t="s">
        <v>309</v>
      </c>
    </row>
    <row r="159" customFormat="false" ht="13.8" hidden="false" customHeight="false" outlineLevel="0" collapsed="false">
      <c r="A159" s="41" t="s">
        <v>1</v>
      </c>
      <c r="B159" s="41" t="s">
        <v>65</v>
      </c>
      <c r="C159" s="41" t="s">
        <v>66</v>
      </c>
      <c r="D159" s="41" t="s">
        <v>67</v>
      </c>
      <c r="E159" s="41" t="s">
        <v>4</v>
      </c>
    </row>
    <row r="160" customFormat="false" ht="13.2" hidden="false" customHeight="false" outlineLevel="0" collapsed="false">
      <c r="A160" s="42" t="s">
        <v>866</v>
      </c>
      <c r="B160" s="2" t="s">
        <v>311</v>
      </c>
      <c r="C160" s="2" t="s">
        <v>69</v>
      </c>
      <c r="D160" s="2" t="s">
        <v>724</v>
      </c>
      <c r="E160" s="1" t="s">
        <v>867</v>
      </c>
    </row>
    <row r="161" customFormat="false" ht="13.2" hidden="false" customHeight="false" outlineLevel="0" collapsed="false">
      <c r="A161" s="42" t="s">
        <v>868</v>
      </c>
      <c r="B161" s="2" t="s">
        <v>311</v>
      </c>
      <c r="C161" s="2" t="s">
        <v>250</v>
      </c>
      <c r="D161" s="2" t="s">
        <v>487</v>
      </c>
      <c r="E161" s="1" t="s">
        <v>869</v>
      </c>
    </row>
    <row r="162" customFormat="false" ht="13.2" hidden="false" customHeight="false" outlineLevel="0" collapsed="false">
      <c r="A162" s="42" t="s">
        <v>870</v>
      </c>
      <c r="B162" s="2" t="s">
        <v>311</v>
      </c>
      <c r="C162" s="2" t="s">
        <v>77</v>
      </c>
      <c r="D162" s="2" t="s">
        <v>656</v>
      </c>
      <c r="E162" s="1" t="s">
        <v>871</v>
      </c>
    </row>
    <row r="163" customFormat="false" ht="13.2" hidden="false" customHeight="false" outlineLevel="0" collapsed="false">
      <c r="A163" s="42" t="s">
        <v>872</v>
      </c>
      <c r="B163" s="2" t="s">
        <v>311</v>
      </c>
      <c r="C163" s="2" t="s">
        <v>120</v>
      </c>
      <c r="D163" s="2" t="s">
        <v>630</v>
      </c>
      <c r="E163" s="1" t="s">
        <v>873</v>
      </c>
    </row>
    <row r="165" customFormat="false" ht="14.4" hidden="false" customHeight="false" outlineLevel="0" collapsed="false">
      <c r="A165" s="39"/>
      <c r="B165" s="40" t="s">
        <v>64</v>
      </c>
    </row>
    <row r="166" customFormat="false" ht="13.8" hidden="false" customHeight="false" outlineLevel="0" collapsed="false">
      <c r="A166" s="41" t="s">
        <v>1</v>
      </c>
      <c r="B166" s="41" t="s">
        <v>65</v>
      </c>
      <c r="C166" s="41" t="s">
        <v>66</v>
      </c>
      <c r="D166" s="41" t="s">
        <v>67</v>
      </c>
      <c r="E166" s="41" t="s">
        <v>4</v>
      </c>
    </row>
    <row r="167" customFormat="false" ht="13.2" hidden="false" customHeight="false" outlineLevel="0" collapsed="false">
      <c r="A167" s="42" t="s">
        <v>874</v>
      </c>
      <c r="B167" s="2" t="s">
        <v>64</v>
      </c>
      <c r="C167" s="2" t="s">
        <v>72</v>
      </c>
      <c r="D167" s="2" t="s">
        <v>577</v>
      </c>
      <c r="E167" s="1" t="s">
        <v>875</v>
      </c>
    </row>
    <row r="168" customFormat="false" ht="13.2" hidden="false" customHeight="false" outlineLevel="0" collapsed="false">
      <c r="A168" s="42" t="s">
        <v>876</v>
      </c>
      <c r="B168" s="2" t="s">
        <v>64</v>
      </c>
      <c r="C168" s="2" t="s">
        <v>195</v>
      </c>
      <c r="D168" s="2" t="s">
        <v>430</v>
      </c>
      <c r="E168" s="1" t="s">
        <v>877</v>
      </c>
    </row>
    <row r="169" customFormat="false" ht="13.2" hidden="false" customHeight="false" outlineLevel="0" collapsed="false">
      <c r="A169" s="42" t="s">
        <v>878</v>
      </c>
      <c r="B169" s="2" t="s">
        <v>64</v>
      </c>
      <c r="C169" s="2" t="s">
        <v>247</v>
      </c>
      <c r="D169" s="2" t="s">
        <v>408</v>
      </c>
      <c r="E169" s="1" t="s">
        <v>879</v>
      </c>
    </row>
    <row r="170" customFormat="false" ht="13.2" hidden="false" customHeight="false" outlineLevel="0" collapsed="false">
      <c r="A170" s="42" t="s">
        <v>880</v>
      </c>
      <c r="B170" s="2" t="s">
        <v>64</v>
      </c>
      <c r="C170" s="2" t="s">
        <v>69</v>
      </c>
      <c r="D170" s="2" t="s">
        <v>728</v>
      </c>
      <c r="E170" s="1" t="s">
        <v>881</v>
      </c>
    </row>
    <row r="171" customFormat="false" ht="13.2" hidden="false" customHeight="false" outlineLevel="0" collapsed="false">
      <c r="A171" s="42" t="s">
        <v>882</v>
      </c>
      <c r="B171" s="2" t="s">
        <v>64</v>
      </c>
      <c r="C171" s="2" t="s">
        <v>69</v>
      </c>
      <c r="D171" s="2" t="s">
        <v>350</v>
      </c>
      <c r="E171" s="1" t="s">
        <v>883</v>
      </c>
    </row>
    <row r="172" customFormat="false" ht="13.2" hidden="false" customHeight="false" outlineLevel="0" collapsed="false">
      <c r="A172" s="42" t="s">
        <v>884</v>
      </c>
      <c r="B172" s="2" t="s">
        <v>64</v>
      </c>
      <c r="C172" s="2" t="s">
        <v>885</v>
      </c>
      <c r="D172" s="2" t="s">
        <v>422</v>
      </c>
      <c r="E172" s="1" t="s">
        <v>886</v>
      </c>
    </row>
    <row r="173" customFormat="false" ht="13.2" hidden="false" customHeight="false" outlineLevel="0" collapsed="false">
      <c r="A173" s="42" t="s">
        <v>887</v>
      </c>
      <c r="B173" s="2" t="s">
        <v>64</v>
      </c>
      <c r="C173" s="2" t="s">
        <v>72</v>
      </c>
      <c r="D173" s="2" t="s">
        <v>827</v>
      </c>
      <c r="E173" s="1" t="s">
        <v>888</v>
      </c>
    </row>
    <row r="174" customFormat="false" ht="13.2" hidden="false" customHeight="false" outlineLevel="0" collapsed="false">
      <c r="A174" s="42" t="s">
        <v>889</v>
      </c>
      <c r="B174" s="2" t="s">
        <v>64</v>
      </c>
      <c r="C174" s="2" t="s">
        <v>77</v>
      </c>
      <c r="D174" s="2" t="s">
        <v>413</v>
      </c>
      <c r="E174" s="1" t="s">
        <v>890</v>
      </c>
    </row>
    <row r="175" customFormat="false" ht="13.2" hidden="false" customHeight="false" outlineLevel="0" collapsed="false">
      <c r="A175" s="42" t="s">
        <v>891</v>
      </c>
      <c r="B175" s="2" t="s">
        <v>64</v>
      </c>
      <c r="C175" s="2" t="s">
        <v>120</v>
      </c>
      <c r="D175" s="2" t="s">
        <v>349</v>
      </c>
      <c r="E175" s="1" t="s">
        <v>892</v>
      </c>
    </row>
    <row r="176" customFormat="false" ht="13.2" hidden="false" customHeight="false" outlineLevel="0" collapsed="false">
      <c r="A176" s="42" t="s">
        <v>893</v>
      </c>
      <c r="B176" s="2" t="s">
        <v>64</v>
      </c>
      <c r="C176" s="2" t="s">
        <v>120</v>
      </c>
      <c r="D176" s="2" t="s">
        <v>384</v>
      </c>
      <c r="E176" s="1" t="s">
        <v>894</v>
      </c>
    </row>
    <row r="177" customFormat="false" ht="13.2" hidden="false" customHeight="false" outlineLevel="0" collapsed="false">
      <c r="A177" s="42" t="s">
        <v>895</v>
      </c>
      <c r="B177" s="2" t="s">
        <v>64</v>
      </c>
      <c r="C177" s="2" t="s">
        <v>69</v>
      </c>
      <c r="D177" s="2" t="s">
        <v>342</v>
      </c>
      <c r="E177" s="1" t="s">
        <v>896</v>
      </c>
    </row>
    <row r="178" customFormat="false" ht="13.2" hidden="false" customHeight="false" outlineLevel="0" collapsed="false">
      <c r="A178" s="42" t="s">
        <v>897</v>
      </c>
      <c r="B178" s="2" t="s">
        <v>64</v>
      </c>
      <c r="C178" s="2" t="s">
        <v>69</v>
      </c>
      <c r="D178" s="2" t="s">
        <v>349</v>
      </c>
      <c r="E178" s="1" t="s">
        <v>898</v>
      </c>
    </row>
    <row r="179" customFormat="false" ht="13.2" hidden="false" customHeight="false" outlineLevel="0" collapsed="false">
      <c r="A179" s="42" t="s">
        <v>899</v>
      </c>
      <c r="B179" s="2" t="s">
        <v>64</v>
      </c>
      <c r="C179" s="2" t="s">
        <v>124</v>
      </c>
      <c r="D179" s="2" t="s">
        <v>386</v>
      </c>
      <c r="E179" s="1" t="s">
        <v>900</v>
      </c>
    </row>
    <row r="180" customFormat="false" ht="13.2" hidden="false" customHeight="false" outlineLevel="0" collapsed="false">
      <c r="A180" s="42" t="s">
        <v>901</v>
      </c>
      <c r="B180" s="2" t="s">
        <v>64</v>
      </c>
      <c r="C180" s="2" t="s">
        <v>885</v>
      </c>
      <c r="D180" s="2" t="s">
        <v>354</v>
      </c>
      <c r="E180" s="1" t="s">
        <v>902</v>
      </c>
    </row>
    <row r="181" customFormat="false" ht="13.2" hidden="false" customHeight="false" outlineLevel="0" collapsed="false">
      <c r="A181" s="42" t="s">
        <v>903</v>
      </c>
      <c r="B181" s="2" t="s">
        <v>64</v>
      </c>
      <c r="C181" s="2" t="s">
        <v>69</v>
      </c>
      <c r="D181" s="2" t="s">
        <v>383</v>
      </c>
      <c r="E181" s="1" t="s">
        <v>904</v>
      </c>
    </row>
    <row r="182" customFormat="false" ht="13.2" hidden="false" customHeight="false" outlineLevel="0" collapsed="false">
      <c r="A182" s="42" t="s">
        <v>905</v>
      </c>
      <c r="B182" s="2" t="s">
        <v>64</v>
      </c>
      <c r="C182" s="2" t="s">
        <v>124</v>
      </c>
      <c r="D182" s="2" t="s">
        <v>331</v>
      </c>
      <c r="E182" s="1" t="s">
        <v>906</v>
      </c>
    </row>
    <row r="183" customFormat="false" ht="13.2" hidden="false" customHeight="false" outlineLevel="0" collapsed="false">
      <c r="A183" s="42" t="s">
        <v>907</v>
      </c>
      <c r="B183" s="2" t="s">
        <v>64</v>
      </c>
      <c r="C183" s="2" t="s">
        <v>124</v>
      </c>
      <c r="D183" s="2" t="s">
        <v>331</v>
      </c>
      <c r="E183" s="1" t="s">
        <v>908</v>
      </c>
    </row>
    <row r="184" customFormat="false" ht="13.2" hidden="false" customHeight="false" outlineLevel="0" collapsed="false">
      <c r="A184" s="42" t="s">
        <v>909</v>
      </c>
      <c r="B184" s="2" t="s">
        <v>64</v>
      </c>
      <c r="C184" s="2" t="s">
        <v>247</v>
      </c>
      <c r="D184" s="2" t="s">
        <v>329</v>
      </c>
      <c r="E184" s="1" t="s">
        <v>910</v>
      </c>
    </row>
    <row r="185" customFormat="false" ht="13.2" hidden="false" customHeight="false" outlineLevel="0" collapsed="false">
      <c r="A185" s="42" t="s">
        <v>911</v>
      </c>
      <c r="B185" s="2" t="s">
        <v>64</v>
      </c>
      <c r="C185" s="2" t="s">
        <v>69</v>
      </c>
      <c r="D185" s="2" t="s">
        <v>724</v>
      </c>
      <c r="E185" s="1" t="s">
        <v>912</v>
      </c>
    </row>
    <row r="186" customFormat="false" ht="13.2" hidden="false" customHeight="false" outlineLevel="0" collapsed="false">
      <c r="A186" s="42" t="s">
        <v>913</v>
      </c>
      <c r="B186" s="2" t="s">
        <v>64</v>
      </c>
      <c r="C186" s="2" t="s">
        <v>195</v>
      </c>
      <c r="D186" s="2" t="s">
        <v>384</v>
      </c>
      <c r="E186" s="1" t="s">
        <v>914</v>
      </c>
    </row>
    <row r="187" customFormat="false" ht="13.2" hidden="false" customHeight="false" outlineLevel="0" collapsed="false">
      <c r="A187" s="42" t="s">
        <v>915</v>
      </c>
      <c r="B187" s="2" t="s">
        <v>64</v>
      </c>
      <c r="C187" s="2" t="s">
        <v>120</v>
      </c>
      <c r="D187" s="2" t="s">
        <v>672</v>
      </c>
      <c r="E187" s="1" t="s">
        <v>916</v>
      </c>
    </row>
    <row r="188" customFormat="false" ht="13.2" hidden="false" customHeight="false" outlineLevel="0" collapsed="false">
      <c r="A188" s="42" t="s">
        <v>119</v>
      </c>
      <c r="B188" s="2" t="s">
        <v>64</v>
      </c>
      <c r="C188" s="2" t="s">
        <v>120</v>
      </c>
      <c r="D188" s="2" t="s">
        <v>672</v>
      </c>
      <c r="E188" s="1" t="s">
        <v>916</v>
      </c>
    </row>
    <row r="189" customFormat="false" ht="13.2" hidden="false" customHeight="false" outlineLevel="0" collapsed="false">
      <c r="A189" s="42" t="s">
        <v>917</v>
      </c>
      <c r="B189" s="2" t="s">
        <v>64</v>
      </c>
      <c r="C189" s="2" t="s">
        <v>77</v>
      </c>
      <c r="D189" s="2" t="s">
        <v>724</v>
      </c>
      <c r="E189" s="1" t="s">
        <v>918</v>
      </c>
    </row>
    <row r="190" customFormat="false" ht="13.2" hidden="false" customHeight="false" outlineLevel="0" collapsed="false">
      <c r="A190" s="42" t="s">
        <v>919</v>
      </c>
      <c r="B190" s="2" t="s">
        <v>64</v>
      </c>
      <c r="C190" s="2" t="s">
        <v>69</v>
      </c>
      <c r="D190" s="2" t="s">
        <v>398</v>
      </c>
      <c r="E190" s="1" t="s">
        <v>920</v>
      </c>
    </row>
    <row r="192" customFormat="false" ht="14.4" hidden="false" customHeight="false" outlineLevel="0" collapsed="false">
      <c r="A192" s="39"/>
      <c r="B192" s="40" t="s">
        <v>130</v>
      </c>
    </row>
    <row r="193" customFormat="false" ht="13.8" hidden="false" customHeight="false" outlineLevel="0" collapsed="false">
      <c r="A193" s="41" t="s">
        <v>1</v>
      </c>
      <c r="B193" s="41" t="s">
        <v>65</v>
      </c>
      <c r="C193" s="41" t="s">
        <v>66</v>
      </c>
      <c r="D193" s="41" t="s">
        <v>67</v>
      </c>
      <c r="E193" s="41" t="s">
        <v>4</v>
      </c>
    </row>
    <row r="194" customFormat="false" ht="13.2" hidden="false" customHeight="false" outlineLevel="0" collapsed="false">
      <c r="A194" s="42" t="s">
        <v>874</v>
      </c>
      <c r="B194" s="2" t="s">
        <v>549</v>
      </c>
      <c r="C194" s="2" t="s">
        <v>72</v>
      </c>
      <c r="D194" s="2" t="s">
        <v>577</v>
      </c>
      <c r="E194" s="1" t="s">
        <v>921</v>
      </c>
    </row>
    <row r="195" customFormat="false" ht="13.2" hidden="false" customHeight="false" outlineLevel="0" collapsed="false">
      <c r="A195" s="42" t="s">
        <v>922</v>
      </c>
      <c r="B195" s="2" t="s">
        <v>304</v>
      </c>
      <c r="C195" s="2" t="s">
        <v>77</v>
      </c>
      <c r="D195" s="2" t="s">
        <v>350</v>
      </c>
      <c r="E195" s="1" t="s">
        <v>923</v>
      </c>
    </row>
    <row r="196" customFormat="false" ht="13.2" hidden="false" customHeight="false" outlineLevel="0" collapsed="false">
      <c r="A196" s="42" t="s">
        <v>924</v>
      </c>
      <c r="B196" s="2" t="s">
        <v>551</v>
      </c>
      <c r="C196" s="2" t="s">
        <v>195</v>
      </c>
      <c r="D196" s="2" t="s">
        <v>343</v>
      </c>
      <c r="E196" s="1" t="s">
        <v>925</v>
      </c>
    </row>
    <row r="197" customFormat="false" ht="13.2" hidden="false" customHeight="false" outlineLevel="0" collapsed="false">
      <c r="A197" s="42" t="s">
        <v>905</v>
      </c>
      <c r="B197" s="2" t="s">
        <v>304</v>
      </c>
      <c r="C197" s="2" t="s">
        <v>124</v>
      </c>
      <c r="D197" s="2" t="s">
        <v>331</v>
      </c>
      <c r="E197" s="1" t="s">
        <v>926</v>
      </c>
    </row>
    <row r="198" customFormat="false" ht="13.2" hidden="false" customHeight="false" outlineLevel="0" collapsed="false">
      <c r="A198" s="42" t="s">
        <v>887</v>
      </c>
      <c r="B198" s="2" t="s">
        <v>259</v>
      </c>
      <c r="C198" s="2" t="s">
        <v>72</v>
      </c>
      <c r="D198" s="2" t="s">
        <v>827</v>
      </c>
      <c r="E198" s="1" t="s">
        <v>927</v>
      </c>
    </row>
    <row r="199" customFormat="false" ht="13.2" hidden="false" customHeight="false" outlineLevel="0" collapsed="false">
      <c r="A199" s="42" t="s">
        <v>928</v>
      </c>
      <c r="B199" s="2" t="s">
        <v>304</v>
      </c>
      <c r="C199" s="2" t="s">
        <v>77</v>
      </c>
      <c r="D199" s="2" t="s">
        <v>724</v>
      </c>
      <c r="E199" s="1" t="s">
        <v>929</v>
      </c>
    </row>
    <row r="200" customFormat="false" ht="13.2" hidden="false" customHeight="false" outlineLevel="0" collapsed="false">
      <c r="A200" s="42" t="s">
        <v>319</v>
      </c>
      <c r="B200" s="2" t="s">
        <v>304</v>
      </c>
      <c r="C200" s="2" t="s">
        <v>195</v>
      </c>
      <c r="D200" s="2" t="s">
        <v>398</v>
      </c>
      <c r="E200" s="1" t="s">
        <v>930</v>
      </c>
    </row>
    <row r="201" customFormat="false" ht="13.2" hidden="false" customHeight="false" outlineLevel="0" collapsed="false">
      <c r="A201" s="42" t="s">
        <v>931</v>
      </c>
      <c r="B201" s="2" t="s">
        <v>551</v>
      </c>
      <c r="C201" s="2" t="s">
        <v>77</v>
      </c>
      <c r="D201" s="2" t="s">
        <v>409</v>
      </c>
      <c r="E201" s="1" t="s">
        <v>932</v>
      </c>
    </row>
    <row r="202" customFormat="false" ht="13.2" hidden="false" customHeight="false" outlineLevel="0" collapsed="false">
      <c r="A202" s="42" t="s">
        <v>933</v>
      </c>
      <c r="B202" s="2" t="s">
        <v>549</v>
      </c>
      <c r="C202" s="2" t="s">
        <v>195</v>
      </c>
      <c r="D202" s="2" t="s">
        <v>341</v>
      </c>
      <c r="E202" s="1" t="s">
        <v>934</v>
      </c>
    </row>
    <row r="203" customFormat="false" ht="13.2" hidden="false" customHeight="false" outlineLevel="0" collapsed="false">
      <c r="A203" s="42" t="s">
        <v>935</v>
      </c>
      <c r="B203" s="2" t="s">
        <v>259</v>
      </c>
      <c r="C203" s="2" t="s">
        <v>77</v>
      </c>
      <c r="D203" s="2" t="s">
        <v>349</v>
      </c>
      <c r="E203" s="1" t="s">
        <v>936</v>
      </c>
    </row>
    <row r="204" customFormat="false" ht="13.2" hidden="false" customHeight="false" outlineLevel="0" collapsed="false">
      <c r="A204" s="42" t="s">
        <v>937</v>
      </c>
      <c r="B204" s="2" t="s">
        <v>259</v>
      </c>
      <c r="C204" s="2" t="s">
        <v>77</v>
      </c>
      <c r="D204" s="2" t="s">
        <v>384</v>
      </c>
      <c r="E204" s="1" t="s">
        <v>938</v>
      </c>
    </row>
    <row r="205" customFormat="false" ht="13.2" hidden="false" customHeight="false" outlineLevel="0" collapsed="false">
      <c r="A205" s="42" t="s">
        <v>939</v>
      </c>
      <c r="B205" s="2" t="s">
        <v>549</v>
      </c>
      <c r="C205" s="2" t="s">
        <v>120</v>
      </c>
      <c r="D205" s="2" t="s">
        <v>660</v>
      </c>
      <c r="E205" s="1" t="s">
        <v>940</v>
      </c>
    </row>
    <row r="206" customFormat="false" ht="13.2" hidden="false" customHeight="false" outlineLevel="0" collapsed="false">
      <c r="A206" s="42" t="s">
        <v>941</v>
      </c>
      <c r="B206" s="2" t="s">
        <v>549</v>
      </c>
      <c r="C206" s="2" t="s">
        <v>69</v>
      </c>
      <c r="D206" s="2" t="s">
        <v>661</v>
      </c>
      <c r="E206" s="1" t="s">
        <v>942</v>
      </c>
    </row>
    <row r="207" customFormat="false" ht="13.2" hidden="false" customHeight="false" outlineLevel="0" collapsed="false">
      <c r="A207" s="42" t="s">
        <v>321</v>
      </c>
      <c r="B207" s="2" t="s">
        <v>259</v>
      </c>
      <c r="C207" s="2" t="s">
        <v>69</v>
      </c>
      <c r="D207" s="2" t="s">
        <v>739</v>
      </c>
      <c r="E207" s="1" t="s">
        <v>943</v>
      </c>
    </row>
    <row r="208" customFormat="false" ht="13.2" hidden="false" customHeight="false" outlineLevel="0" collapsed="false">
      <c r="A208" s="42" t="s">
        <v>944</v>
      </c>
      <c r="B208" s="2" t="s">
        <v>259</v>
      </c>
      <c r="C208" s="2" t="s">
        <v>77</v>
      </c>
      <c r="D208" s="2" t="s">
        <v>329</v>
      </c>
      <c r="E208" s="1" t="s">
        <v>945</v>
      </c>
    </row>
    <row r="209" customFormat="false" ht="13.2" hidden="false" customHeight="false" outlineLevel="0" collapsed="false">
      <c r="A209" s="42" t="s">
        <v>946</v>
      </c>
      <c r="B209" s="2" t="s">
        <v>259</v>
      </c>
      <c r="C209" s="2" t="s">
        <v>69</v>
      </c>
      <c r="D209" s="2" t="s">
        <v>661</v>
      </c>
      <c r="E209" s="1" t="s">
        <v>947</v>
      </c>
    </row>
  </sheetData>
  <mergeCells count="23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9:J9"/>
    <mergeCell ref="A12:J12"/>
    <mergeCell ref="A17:J17"/>
    <mergeCell ref="A21:J21"/>
    <mergeCell ref="A29:J29"/>
    <mergeCell ref="A33:J33"/>
    <mergeCell ref="A36:J36"/>
    <mergeCell ref="A41:J41"/>
    <mergeCell ref="A50:J50"/>
    <mergeCell ref="A65:J65"/>
    <mergeCell ref="A83:J83"/>
    <mergeCell ref="A97:J97"/>
    <mergeCell ref="A105:J105"/>
    <mergeCell ref="A111:J1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1" min="11" style="2" width="4.56"/>
    <col collapsed="false" customWidth="true" hidden="false" outlineLevel="0" max="14" min="12" style="2" width="2.12"/>
    <col collapsed="false" customWidth="true" hidden="false" outlineLevel="0" max="15" min="15" style="2" width="5.55"/>
    <col collapsed="false" customWidth="true" hidden="false" outlineLevel="0" max="18" min="16" style="2" width="3.22"/>
    <col collapsed="false" customWidth="true" hidden="false" outlineLevel="0" max="19" min="19" style="4" width="7"/>
    <col collapsed="false" customWidth="true" hidden="false" outlineLevel="0" max="20" min="20" style="4" width="9"/>
    <col collapsed="false" customWidth="false" hidden="false" outlineLevel="0" max="1024" min="21" style="4" width="9.13"/>
  </cols>
  <sheetData>
    <row r="1" customFormat="false" ht="28.95" hidden="false" customHeight="true" outlineLevel="0" collapsed="false">
      <c r="A1" s="5" t="s">
        <v>948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5" t="s">
        <v>949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  <c r="K4" s="12" t="n">
        <v>5</v>
      </c>
      <c r="L4" s="12" t="n">
        <v>6</v>
      </c>
      <c r="M4" s="12" t="n">
        <v>7</v>
      </c>
      <c r="N4" s="12" t="n">
        <v>8</v>
      </c>
      <c r="O4" s="12" t="n">
        <v>9</v>
      </c>
      <c r="P4" s="12" t="n">
        <v>10</v>
      </c>
      <c r="Q4" s="12" t="n">
        <v>11</v>
      </c>
      <c r="R4" s="12" t="n">
        <v>12</v>
      </c>
    </row>
    <row r="5" s="2" customFormat="true" ht="15.6" hidden="false" customHeight="false" outlineLevel="0" collapsed="false">
      <c r="A5" s="13" t="s">
        <v>83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="2" customFormat="true" ht="13.2" hidden="false" customHeight="false" outlineLevel="0" collapsed="false">
      <c r="A6" s="14" t="s">
        <v>950</v>
      </c>
      <c r="B6" s="15" t="s">
        <v>951</v>
      </c>
      <c r="C6" s="15" t="s">
        <v>952</v>
      </c>
      <c r="D6" s="15" t="str">
        <f aca="false">"0,8612"</f>
        <v>0,8612</v>
      </c>
      <c r="E6" s="16" t="s">
        <v>12</v>
      </c>
      <c r="F6" s="16" t="s">
        <v>327</v>
      </c>
      <c r="G6" s="17" t="s">
        <v>349</v>
      </c>
      <c r="H6" s="17" t="s">
        <v>409</v>
      </c>
      <c r="I6" s="17" t="s">
        <v>409</v>
      </c>
      <c r="J6" s="17"/>
      <c r="K6" s="17" t="s">
        <v>285</v>
      </c>
      <c r="L6" s="17"/>
      <c r="M6" s="17"/>
      <c r="N6" s="17"/>
      <c r="O6" s="17" t="s">
        <v>349</v>
      </c>
      <c r="P6" s="17"/>
      <c r="Q6" s="17"/>
      <c r="R6" s="17"/>
      <c r="S6" s="15" t="s">
        <v>953</v>
      </c>
      <c r="T6" s="15" t="s">
        <v>954</v>
      </c>
      <c r="U6" s="15"/>
    </row>
    <row r="7" s="2" customFormat="true" ht="13.2" hidden="false" customHeight="false" outlineLevel="0" collapsed="false">
      <c r="A7" s="1"/>
      <c r="E7" s="3"/>
      <c r="F7" s="3"/>
    </row>
    <row r="8" customFormat="false" ht="15" hidden="false" customHeight="false" outlineLevel="0" collapsed="false">
      <c r="E8" s="35" t="s">
        <v>56</v>
      </c>
    </row>
    <row r="9" customFormat="false" ht="15" hidden="false" customHeight="false" outlineLevel="0" collapsed="false">
      <c r="E9" s="35" t="s">
        <v>57</v>
      </c>
    </row>
    <row r="10" customFormat="false" ht="15" hidden="false" customHeight="false" outlineLevel="0" collapsed="false">
      <c r="E10" s="35" t="s">
        <v>58</v>
      </c>
    </row>
    <row r="11" customFormat="false" ht="13.2" hidden="false" customHeight="false" outlineLevel="0" collapsed="false">
      <c r="E11" s="3" t="s">
        <v>59</v>
      </c>
    </row>
    <row r="12" customFormat="false" ht="13.2" hidden="false" customHeight="false" outlineLevel="0" collapsed="false">
      <c r="E12" s="3" t="s">
        <v>60</v>
      </c>
    </row>
    <row r="13" customFormat="false" ht="13.2" hidden="false" customHeight="false" outlineLevel="0" collapsed="false">
      <c r="E13" s="3" t="s">
        <v>61</v>
      </c>
    </row>
    <row r="16" customFormat="false" ht="17.4" hidden="false" customHeight="false" outlineLevel="0" collapsed="false">
      <c r="A16" s="36" t="s">
        <v>62</v>
      </c>
      <c r="B16" s="37"/>
    </row>
  </sheetData>
  <mergeCells count="9">
    <mergeCell ref="A1:R2"/>
    <mergeCell ref="A3:A4"/>
    <mergeCell ref="B3:B4"/>
    <mergeCell ref="C3:C4"/>
    <mergeCell ref="D3:D4"/>
    <mergeCell ref="E3:E4"/>
    <mergeCell ref="F3:F4"/>
    <mergeCell ref="G3:R3"/>
    <mergeCell ref="A5:R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4.11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3" min="11" style="2" width="5.55"/>
    <col collapsed="false" customWidth="true" hidden="false" outlineLevel="0" max="14" min="14" style="2" width="2.12"/>
    <col collapsed="false" customWidth="true" hidden="false" outlineLevel="0" max="17" min="15" style="2" width="5.55"/>
    <col collapsed="false" customWidth="true" hidden="false" outlineLevel="0" max="18" min="18" style="2" width="3.22"/>
    <col collapsed="false" customWidth="true" hidden="false" outlineLevel="0" max="19" min="19" style="4" width="8"/>
    <col collapsed="false" customWidth="true" hidden="false" outlineLevel="0" max="20" min="20" style="4" width="10.99"/>
    <col collapsed="false" customWidth="false" hidden="false" outlineLevel="0" max="1024" min="21" style="4" width="9.13"/>
  </cols>
  <sheetData>
    <row r="1" customFormat="false" ht="28.95" hidden="false" customHeight="true" outlineLevel="0" collapsed="false">
      <c r="A1" s="5" t="s">
        <v>955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5" t="s">
        <v>949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  <c r="K4" s="12" t="n">
        <v>5</v>
      </c>
      <c r="L4" s="12" t="n">
        <v>6</v>
      </c>
      <c r="M4" s="12" t="n">
        <v>7</v>
      </c>
      <c r="N4" s="12" t="n">
        <v>8</v>
      </c>
      <c r="O4" s="12" t="n">
        <v>9</v>
      </c>
      <c r="P4" s="12" t="n">
        <v>10</v>
      </c>
      <c r="Q4" s="12" t="n">
        <v>11</v>
      </c>
      <c r="R4" s="12" t="n">
        <v>12</v>
      </c>
    </row>
    <row r="5" s="2" customFormat="true" ht="15.6" hidden="false" customHeight="false" outlineLevel="0" collapsed="false">
      <c r="A5" s="13" t="s">
        <v>83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="2" customFormat="true" ht="13.2" hidden="false" customHeight="false" outlineLevel="0" collapsed="false">
      <c r="A6" s="19" t="s">
        <v>956</v>
      </c>
      <c r="B6" s="20" t="s">
        <v>957</v>
      </c>
      <c r="C6" s="20" t="s">
        <v>664</v>
      </c>
      <c r="D6" s="20" t="str">
        <f aca="false">"0,6899"</f>
        <v>0,6899</v>
      </c>
      <c r="E6" s="21" t="s">
        <v>12</v>
      </c>
      <c r="F6" s="21" t="s">
        <v>327</v>
      </c>
      <c r="G6" s="20" t="s">
        <v>354</v>
      </c>
      <c r="H6" s="20" t="s">
        <v>355</v>
      </c>
      <c r="I6" s="20" t="s">
        <v>430</v>
      </c>
      <c r="J6" s="22"/>
      <c r="K6" s="20" t="s">
        <v>629</v>
      </c>
      <c r="L6" s="20" t="s">
        <v>390</v>
      </c>
      <c r="M6" s="22" t="s">
        <v>376</v>
      </c>
      <c r="N6" s="22"/>
      <c r="O6" s="20" t="s">
        <v>342</v>
      </c>
      <c r="P6" s="20" t="s">
        <v>728</v>
      </c>
      <c r="Q6" s="20" t="s">
        <v>958</v>
      </c>
      <c r="R6" s="22"/>
      <c r="S6" s="20" t="s">
        <v>959</v>
      </c>
      <c r="T6" s="20" t="s">
        <v>960</v>
      </c>
      <c r="U6" s="20"/>
    </row>
    <row r="7" s="2" customFormat="true" ht="13.2" hidden="false" customHeight="false" outlineLevel="0" collapsed="false">
      <c r="A7" s="24" t="s">
        <v>956</v>
      </c>
      <c r="B7" s="25" t="s">
        <v>961</v>
      </c>
      <c r="C7" s="25" t="s">
        <v>664</v>
      </c>
      <c r="D7" s="25" t="str">
        <f aca="false">"0,6899"</f>
        <v>0,6899</v>
      </c>
      <c r="E7" s="26" t="s">
        <v>12</v>
      </c>
      <c r="F7" s="26" t="s">
        <v>327</v>
      </c>
      <c r="G7" s="25" t="s">
        <v>354</v>
      </c>
      <c r="H7" s="25" t="s">
        <v>355</v>
      </c>
      <c r="I7" s="25" t="s">
        <v>430</v>
      </c>
      <c r="J7" s="27"/>
      <c r="K7" s="25" t="s">
        <v>629</v>
      </c>
      <c r="L7" s="25" t="s">
        <v>390</v>
      </c>
      <c r="M7" s="27" t="s">
        <v>376</v>
      </c>
      <c r="N7" s="27"/>
      <c r="O7" s="25" t="s">
        <v>342</v>
      </c>
      <c r="P7" s="25" t="s">
        <v>728</v>
      </c>
      <c r="Q7" s="25" t="s">
        <v>958</v>
      </c>
      <c r="R7" s="27"/>
      <c r="S7" s="25" t="s">
        <v>959</v>
      </c>
      <c r="T7" s="25" t="s">
        <v>960</v>
      </c>
      <c r="U7" s="25"/>
    </row>
    <row r="9" customFormat="false" ht="15" hidden="false" customHeight="false" outlineLevel="0" collapsed="false">
      <c r="E9" s="35" t="s">
        <v>56</v>
      </c>
    </row>
    <row r="10" customFormat="false" ht="15" hidden="false" customHeight="false" outlineLevel="0" collapsed="false">
      <c r="E10" s="35" t="s">
        <v>57</v>
      </c>
    </row>
    <row r="11" customFormat="false" ht="15" hidden="false" customHeight="false" outlineLevel="0" collapsed="false">
      <c r="E11" s="35" t="s">
        <v>58</v>
      </c>
    </row>
    <row r="12" customFormat="false" ht="13.2" hidden="false" customHeight="false" outlineLevel="0" collapsed="false">
      <c r="E12" s="3" t="s">
        <v>59</v>
      </c>
    </row>
    <row r="13" customFormat="false" ht="13.2" hidden="false" customHeight="false" outlineLevel="0" collapsed="false">
      <c r="E13" s="3" t="s">
        <v>60</v>
      </c>
    </row>
    <row r="14" customFormat="false" ht="13.2" hidden="false" customHeight="false" outlineLevel="0" collapsed="false">
      <c r="E14" s="3" t="s">
        <v>61</v>
      </c>
    </row>
    <row r="17" customFormat="false" ht="17.4" hidden="false" customHeight="false" outlineLevel="0" collapsed="false">
      <c r="A17" s="36" t="s">
        <v>62</v>
      </c>
      <c r="B17" s="37"/>
    </row>
    <row r="18" customFormat="false" ht="15.6" hidden="false" customHeight="false" outlineLevel="0" collapsed="false">
      <c r="A18" s="38" t="s">
        <v>63</v>
      </c>
      <c r="B18" s="18"/>
    </row>
    <row r="19" customFormat="false" ht="14.4" hidden="false" customHeight="false" outlineLevel="0" collapsed="false">
      <c r="A19" s="39"/>
      <c r="B19" s="40" t="s">
        <v>114</v>
      </c>
    </row>
    <row r="20" customFormat="false" ht="13.8" hidden="false" customHeight="false" outlineLevel="0" collapsed="false">
      <c r="A20" s="41" t="s">
        <v>1</v>
      </c>
      <c r="B20" s="41" t="s">
        <v>65</v>
      </c>
      <c r="C20" s="41" t="s">
        <v>66</v>
      </c>
      <c r="D20" s="41" t="s">
        <v>962</v>
      </c>
      <c r="E20" s="41" t="s">
        <v>4</v>
      </c>
    </row>
    <row r="21" customFormat="false" ht="13.2" hidden="false" customHeight="false" outlineLevel="0" collapsed="false">
      <c r="A21" s="42" t="s">
        <v>963</v>
      </c>
      <c r="B21" s="2" t="s">
        <v>307</v>
      </c>
      <c r="C21" s="2" t="s">
        <v>124</v>
      </c>
      <c r="D21" s="2" t="s">
        <v>964</v>
      </c>
      <c r="E21" s="1" t="s">
        <v>965</v>
      </c>
    </row>
    <row r="23" customFormat="false" ht="14.4" hidden="false" customHeight="false" outlineLevel="0" collapsed="false">
      <c r="A23" s="39"/>
      <c r="B23" s="40" t="s">
        <v>64</v>
      </c>
    </row>
    <row r="24" customFormat="false" ht="13.8" hidden="false" customHeight="false" outlineLevel="0" collapsed="false">
      <c r="A24" s="41" t="s">
        <v>1</v>
      </c>
      <c r="B24" s="41" t="s">
        <v>65</v>
      </c>
      <c r="C24" s="41" t="s">
        <v>66</v>
      </c>
      <c r="D24" s="41" t="s">
        <v>962</v>
      </c>
      <c r="E24" s="41" t="s">
        <v>4</v>
      </c>
    </row>
    <row r="25" customFormat="false" ht="13.2" hidden="false" customHeight="false" outlineLevel="0" collapsed="false">
      <c r="A25" s="42" t="s">
        <v>963</v>
      </c>
      <c r="B25" s="2" t="s">
        <v>64</v>
      </c>
      <c r="C25" s="2" t="s">
        <v>124</v>
      </c>
      <c r="D25" s="2" t="s">
        <v>964</v>
      </c>
      <c r="E25" s="1" t="s">
        <v>965</v>
      </c>
    </row>
  </sheetData>
  <mergeCells count="9">
    <mergeCell ref="A1:R2"/>
    <mergeCell ref="A3:A4"/>
    <mergeCell ref="B3:B4"/>
    <mergeCell ref="C3:C4"/>
    <mergeCell ref="D3:D4"/>
    <mergeCell ref="E3:E4"/>
    <mergeCell ref="F3:F4"/>
    <mergeCell ref="G3:R3"/>
    <mergeCell ref="A5:R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7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8.44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3" min="11" style="2" width="5.55"/>
    <col collapsed="false" customWidth="true" hidden="false" outlineLevel="0" max="14" min="14" style="2" width="2.12"/>
    <col collapsed="false" customWidth="true" hidden="false" outlineLevel="0" max="18" min="15" style="2" width="5.55"/>
    <col collapsed="false" customWidth="true" hidden="false" outlineLevel="0" max="19" min="19" style="4" width="8"/>
    <col collapsed="false" customWidth="true" hidden="false" outlineLevel="0" max="20" min="20" style="4" width="10.99"/>
    <col collapsed="false" customWidth="false" hidden="false" outlineLevel="0" max="1024" min="21" style="4" width="9.13"/>
  </cols>
  <sheetData>
    <row r="1" customFormat="false" ht="28.95" hidden="false" customHeight="true" outlineLevel="0" collapsed="false">
      <c r="A1" s="5" t="s">
        <v>966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5" t="s">
        <v>949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  <c r="K4" s="12" t="n">
        <v>5</v>
      </c>
      <c r="L4" s="12" t="n">
        <v>6</v>
      </c>
      <c r="M4" s="12" t="n">
        <v>7</v>
      </c>
      <c r="N4" s="12" t="n">
        <v>8</v>
      </c>
      <c r="O4" s="12" t="n">
        <v>9</v>
      </c>
      <c r="P4" s="12" t="n">
        <v>10</v>
      </c>
      <c r="Q4" s="12" t="n">
        <v>11</v>
      </c>
      <c r="R4" s="12" t="n">
        <v>12</v>
      </c>
    </row>
    <row r="5" s="2" customFormat="true" ht="15.6" hidden="false" customHeight="false" outlineLevel="0" collapsed="false">
      <c r="A5" s="13" t="s">
        <v>211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="2" customFormat="true" ht="13.2" hidden="false" customHeight="false" outlineLevel="0" collapsed="false">
      <c r="A6" s="19" t="s">
        <v>967</v>
      </c>
      <c r="B6" s="20" t="s">
        <v>968</v>
      </c>
      <c r="C6" s="20" t="s">
        <v>969</v>
      </c>
      <c r="D6" s="20" t="str">
        <f aca="false">"0,9876"</f>
        <v>0,9876</v>
      </c>
      <c r="E6" s="21" t="s">
        <v>12</v>
      </c>
      <c r="F6" s="21" t="s">
        <v>327</v>
      </c>
      <c r="G6" s="20" t="s">
        <v>592</v>
      </c>
      <c r="H6" s="20" t="s">
        <v>170</v>
      </c>
      <c r="I6" s="20" t="s">
        <v>630</v>
      </c>
      <c r="J6" s="22"/>
      <c r="K6" s="20" t="s">
        <v>271</v>
      </c>
      <c r="L6" s="20" t="s">
        <v>272</v>
      </c>
      <c r="M6" s="20" t="s">
        <v>141</v>
      </c>
      <c r="N6" s="22"/>
      <c r="O6" s="20" t="s">
        <v>647</v>
      </c>
      <c r="P6" s="20" t="s">
        <v>180</v>
      </c>
      <c r="Q6" s="20" t="s">
        <v>376</v>
      </c>
      <c r="R6" s="22"/>
      <c r="S6" s="20" t="s">
        <v>970</v>
      </c>
      <c r="T6" s="20" t="s">
        <v>971</v>
      </c>
      <c r="U6" s="20"/>
    </row>
    <row r="7" s="2" customFormat="true" ht="13.2" hidden="false" customHeight="false" outlineLevel="0" collapsed="false">
      <c r="A7" s="24" t="s">
        <v>972</v>
      </c>
      <c r="B7" s="25" t="s">
        <v>973</v>
      </c>
      <c r="C7" s="25" t="s">
        <v>339</v>
      </c>
      <c r="D7" s="25" t="str">
        <f aca="false">"0,9942"</f>
        <v>0,9942</v>
      </c>
      <c r="E7" s="26" t="s">
        <v>12</v>
      </c>
      <c r="F7" s="26" t="s">
        <v>229</v>
      </c>
      <c r="G7" s="25" t="s">
        <v>486</v>
      </c>
      <c r="H7" s="25" t="s">
        <v>487</v>
      </c>
      <c r="I7" s="27" t="s">
        <v>647</v>
      </c>
      <c r="J7" s="27"/>
      <c r="K7" s="25" t="s">
        <v>974</v>
      </c>
      <c r="L7" s="25" t="s">
        <v>975</v>
      </c>
      <c r="M7" s="27" t="s">
        <v>141</v>
      </c>
      <c r="N7" s="27"/>
      <c r="O7" s="25" t="s">
        <v>487</v>
      </c>
      <c r="P7" s="25" t="s">
        <v>170</v>
      </c>
      <c r="Q7" s="25" t="s">
        <v>180</v>
      </c>
      <c r="R7" s="27"/>
      <c r="S7" s="25" t="s">
        <v>976</v>
      </c>
      <c r="T7" s="25" t="s">
        <v>977</v>
      </c>
      <c r="U7" s="25"/>
    </row>
    <row r="9" customFormat="false" ht="15.6" hidden="false" customHeight="false" outlineLevel="0" collapsed="false">
      <c r="A9" s="18" t="s">
        <v>220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customFormat="false" ht="13.2" hidden="false" customHeight="false" outlineLevel="0" collapsed="false">
      <c r="A10" s="19" t="s">
        <v>978</v>
      </c>
      <c r="B10" s="20" t="s">
        <v>979</v>
      </c>
      <c r="C10" s="20" t="s">
        <v>980</v>
      </c>
      <c r="D10" s="20" t="str">
        <f aca="false">"0,9695"</f>
        <v>0,9695</v>
      </c>
      <c r="E10" s="21" t="s">
        <v>140</v>
      </c>
      <c r="F10" s="21" t="s">
        <v>229</v>
      </c>
      <c r="G10" s="20" t="s">
        <v>180</v>
      </c>
      <c r="H10" s="20" t="s">
        <v>661</v>
      </c>
      <c r="I10" s="22" t="s">
        <v>739</v>
      </c>
      <c r="J10" s="22"/>
      <c r="K10" s="20" t="s">
        <v>272</v>
      </c>
      <c r="L10" s="20" t="s">
        <v>276</v>
      </c>
      <c r="M10" s="22"/>
      <c r="N10" s="22"/>
      <c r="O10" s="22" t="s">
        <v>330</v>
      </c>
      <c r="P10" s="20" t="s">
        <v>330</v>
      </c>
      <c r="Q10" s="22" t="s">
        <v>408</v>
      </c>
      <c r="R10" s="22"/>
      <c r="S10" s="23" t="str">
        <f aca="false">"302,5"</f>
        <v>302,5</v>
      </c>
      <c r="T10" s="23" t="str">
        <f aca="false">"293,2738"</f>
        <v>293,2738</v>
      </c>
      <c r="U10" s="23"/>
    </row>
    <row r="11" customFormat="false" ht="13.2" hidden="false" customHeight="false" outlineLevel="0" collapsed="false">
      <c r="A11" s="24" t="s">
        <v>981</v>
      </c>
      <c r="B11" s="25" t="s">
        <v>982</v>
      </c>
      <c r="C11" s="25" t="s">
        <v>983</v>
      </c>
      <c r="D11" s="25" t="str">
        <f aca="false">"0,9334"</f>
        <v>0,9334</v>
      </c>
      <c r="E11" s="26" t="s">
        <v>140</v>
      </c>
      <c r="F11" s="26" t="s">
        <v>229</v>
      </c>
      <c r="G11" s="25" t="s">
        <v>155</v>
      </c>
      <c r="H11" s="25" t="s">
        <v>486</v>
      </c>
      <c r="I11" s="27" t="s">
        <v>170</v>
      </c>
      <c r="J11" s="27"/>
      <c r="K11" s="25" t="s">
        <v>149</v>
      </c>
      <c r="L11" s="25" t="s">
        <v>230</v>
      </c>
      <c r="M11" s="27" t="s">
        <v>236</v>
      </c>
      <c r="N11" s="27"/>
      <c r="O11" s="25" t="s">
        <v>486</v>
      </c>
      <c r="P11" s="25" t="s">
        <v>487</v>
      </c>
      <c r="Q11" s="27" t="s">
        <v>170</v>
      </c>
      <c r="R11" s="27"/>
      <c r="S11" s="28" t="str">
        <f aca="false">"230,0"</f>
        <v>230,0</v>
      </c>
      <c r="T11" s="28" t="str">
        <f aca="false">"214,6935"</f>
        <v>214,6935</v>
      </c>
      <c r="U11" s="28"/>
    </row>
    <row r="13" customFormat="false" ht="15.6" hidden="false" customHeight="false" outlineLevel="0" collapsed="false">
      <c r="A13" s="18" t="s">
        <v>83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customFormat="false" ht="13.2" hidden="false" customHeight="false" outlineLevel="0" collapsed="false">
      <c r="A14" s="19" t="s">
        <v>984</v>
      </c>
      <c r="B14" s="20" t="s">
        <v>985</v>
      </c>
      <c r="C14" s="20" t="s">
        <v>986</v>
      </c>
      <c r="D14" s="20" t="str">
        <f aca="false">"0,8620"</f>
        <v>0,8620</v>
      </c>
      <c r="E14" s="21" t="s">
        <v>140</v>
      </c>
      <c r="F14" s="21" t="s">
        <v>229</v>
      </c>
      <c r="G14" s="20" t="s">
        <v>661</v>
      </c>
      <c r="H14" s="20" t="s">
        <v>330</v>
      </c>
      <c r="I14" s="20" t="s">
        <v>386</v>
      </c>
      <c r="J14" s="22"/>
      <c r="K14" s="20" t="s">
        <v>170</v>
      </c>
      <c r="L14" s="20" t="s">
        <v>180</v>
      </c>
      <c r="M14" s="20" t="s">
        <v>390</v>
      </c>
      <c r="N14" s="22"/>
      <c r="O14" s="22" t="s">
        <v>661</v>
      </c>
      <c r="P14" s="20" t="s">
        <v>330</v>
      </c>
      <c r="Q14" s="20" t="s">
        <v>386</v>
      </c>
      <c r="R14" s="20" t="s">
        <v>341</v>
      </c>
      <c r="S14" s="23" t="str">
        <f aca="false">"390,0"</f>
        <v>390,0</v>
      </c>
      <c r="T14" s="23" t="str">
        <f aca="false">"336,1995"</f>
        <v>336,1995</v>
      </c>
      <c r="U14" s="23"/>
    </row>
    <row r="15" customFormat="false" ht="13.2" hidden="false" customHeight="false" outlineLevel="0" collapsed="false">
      <c r="A15" s="24" t="s">
        <v>987</v>
      </c>
      <c r="B15" s="25" t="s">
        <v>988</v>
      </c>
      <c r="C15" s="25" t="s">
        <v>989</v>
      </c>
      <c r="D15" s="25" t="str">
        <f aca="false">"0,8383"</f>
        <v>0,8383</v>
      </c>
      <c r="E15" s="26" t="s">
        <v>426</v>
      </c>
      <c r="F15" s="26" t="s">
        <v>990</v>
      </c>
      <c r="G15" s="25" t="s">
        <v>330</v>
      </c>
      <c r="H15" s="25" t="s">
        <v>386</v>
      </c>
      <c r="I15" s="25" t="s">
        <v>341</v>
      </c>
      <c r="J15" s="27"/>
      <c r="K15" s="25" t="s">
        <v>236</v>
      </c>
      <c r="L15" s="25" t="s">
        <v>88</v>
      </c>
      <c r="M15" s="27" t="s">
        <v>486</v>
      </c>
      <c r="N15" s="27"/>
      <c r="O15" s="25" t="s">
        <v>331</v>
      </c>
      <c r="P15" s="25" t="s">
        <v>408</v>
      </c>
      <c r="Q15" s="25" t="s">
        <v>349</v>
      </c>
      <c r="R15" s="27"/>
      <c r="S15" s="28" t="str">
        <f aca="false">"385,0"</f>
        <v>385,0</v>
      </c>
      <c r="T15" s="28" t="str">
        <f aca="false">"344,7128"</f>
        <v>344,7128</v>
      </c>
      <c r="U15" s="28"/>
    </row>
    <row r="17" customFormat="false" ht="15.6" hidden="false" customHeight="false" outlineLevel="0" collapsed="false">
      <c r="A17" s="18" t="s">
        <v>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customFormat="false" ht="13.2" hidden="false" customHeight="false" outlineLevel="0" collapsed="false">
      <c r="A18" s="14" t="s">
        <v>991</v>
      </c>
      <c r="B18" s="15" t="s">
        <v>992</v>
      </c>
      <c r="C18" s="15" t="s">
        <v>993</v>
      </c>
      <c r="D18" s="15" t="str">
        <f aca="false">"0,7366"</f>
        <v>0,7366</v>
      </c>
      <c r="E18" s="16" t="s">
        <v>12</v>
      </c>
      <c r="F18" s="16" t="s">
        <v>29</v>
      </c>
      <c r="G18" s="15" t="s">
        <v>402</v>
      </c>
      <c r="H18" s="15" t="s">
        <v>728</v>
      </c>
      <c r="I18" s="17" t="s">
        <v>354</v>
      </c>
      <c r="J18" s="17"/>
      <c r="K18" s="15" t="s">
        <v>330</v>
      </c>
      <c r="L18" s="15" t="s">
        <v>672</v>
      </c>
      <c r="M18" s="15" t="s">
        <v>398</v>
      </c>
      <c r="N18" s="17"/>
      <c r="O18" s="15" t="s">
        <v>422</v>
      </c>
      <c r="P18" s="15" t="s">
        <v>994</v>
      </c>
      <c r="Q18" s="15" t="s">
        <v>995</v>
      </c>
      <c r="R18" s="17"/>
      <c r="S18" s="29" t="str">
        <f aca="false">"535,0"</f>
        <v>535,0</v>
      </c>
      <c r="T18" s="29" t="str">
        <f aca="false">"394,0810"</f>
        <v>394,0810</v>
      </c>
      <c r="U18" s="29"/>
    </row>
    <row r="20" customFormat="false" ht="15.6" hidden="false" customHeight="false" outlineLevel="0" collapsed="false">
      <c r="A20" s="18" t="s">
        <v>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customFormat="false" ht="13.2" hidden="false" customHeight="false" outlineLevel="0" collapsed="false">
      <c r="A21" s="19" t="s">
        <v>996</v>
      </c>
      <c r="B21" s="20" t="s">
        <v>997</v>
      </c>
      <c r="C21" s="20" t="s">
        <v>742</v>
      </c>
      <c r="D21" s="20" t="str">
        <f aca="false">"0,6153"</f>
        <v>0,6153</v>
      </c>
      <c r="E21" s="21" t="s">
        <v>12</v>
      </c>
      <c r="F21" s="21" t="s">
        <v>229</v>
      </c>
      <c r="G21" s="20" t="s">
        <v>402</v>
      </c>
      <c r="H21" s="22" t="s">
        <v>355</v>
      </c>
      <c r="I21" s="20" t="s">
        <v>430</v>
      </c>
      <c r="J21" s="22"/>
      <c r="K21" s="20" t="s">
        <v>661</v>
      </c>
      <c r="L21" s="20" t="s">
        <v>330</v>
      </c>
      <c r="M21" s="22" t="s">
        <v>331</v>
      </c>
      <c r="N21" s="22"/>
      <c r="O21" s="20" t="s">
        <v>349</v>
      </c>
      <c r="P21" s="20" t="s">
        <v>728</v>
      </c>
      <c r="Q21" s="22" t="s">
        <v>355</v>
      </c>
      <c r="R21" s="22"/>
      <c r="S21" s="23" t="str">
        <f aca="false">"505,0"</f>
        <v>505,0</v>
      </c>
      <c r="T21" s="23" t="str">
        <f aca="false">"310,7265"</f>
        <v>310,7265</v>
      </c>
      <c r="U21" s="23"/>
    </row>
    <row r="22" customFormat="false" ht="13.2" hidden="false" customHeight="false" outlineLevel="0" collapsed="false">
      <c r="A22" s="30" t="s">
        <v>998</v>
      </c>
      <c r="B22" s="31" t="s">
        <v>999</v>
      </c>
      <c r="C22" s="31" t="s">
        <v>1000</v>
      </c>
      <c r="D22" s="31" t="str">
        <f aca="false">"0,6251"</f>
        <v>0,6251</v>
      </c>
      <c r="E22" s="32" t="s">
        <v>12</v>
      </c>
      <c r="F22" s="32" t="s">
        <v>29</v>
      </c>
      <c r="G22" s="31" t="s">
        <v>386</v>
      </c>
      <c r="H22" s="33" t="s">
        <v>341</v>
      </c>
      <c r="I22" s="31" t="s">
        <v>349</v>
      </c>
      <c r="J22" s="33"/>
      <c r="K22" s="31" t="s">
        <v>647</v>
      </c>
      <c r="L22" s="31" t="s">
        <v>180</v>
      </c>
      <c r="M22" s="33" t="s">
        <v>376</v>
      </c>
      <c r="N22" s="33"/>
      <c r="O22" s="31" t="s">
        <v>349</v>
      </c>
      <c r="P22" s="31" t="s">
        <v>350</v>
      </c>
      <c r="Q22" s="33" t="s">
        <v>354</v>
      </c>
      <c r="R22" s="33"/>
      <c r="S22" s="34" t="str">
        <f aca="false">"437,5"</f>
        <v>437,5</v>
      </c>
      <c r="T22" s="34" t="str">
        <f aca="false">"273,4813"</f>
        <v>273,4813</v>
      </c>
      <c r="U22" s="34"/>
    </row>
    <row r="23" customFormat="false" ht="13.2" hidden="false" customHeight="false" outlineLevel="0" collapsed="false">
      <c r="A23" s="24" t="s">
        <v>1001</v>
      </c>
      <c r="B23" s="25" t="s">
        <v>1002</v>
      </c>
      <c r="C23" s="25" t="s">
        <v>1003</v>
      </c>
      <c r="D23" s="25" t="str">
        <f aca="false">"0,6173"</f>
        <v>0,6173</v>
      </c>
      <c r="E23" s="26" t="s">
        <v>12</v>
      </c>
      <c r="F23" s="26" t="s">
        <v>29</v>
      </c>
      <c r="G23" s="25" t="s">
        <v>661</v>
      </c>
      <c r="H23" s="25" t="s">
        <v>330</v>
      </c>
      <c r="I23" s="25" t="s">
        <v>386</v>
      </c>
      <c r="J23" s="27"/>
      <c r="K23" s="25" t="s">
        <v>647</v>
      </c>
      <c r="L23" s="27" t="s">
        <v>180</v>
      </c>
      <c r="M23" s="25" t="s">
        <v>630</v>
      </c>
      <c r="N23" s="27"/>
      <c r="O23" s="25" t="s">
        <v>330</v>
      </c>
      <c r="P23" s="25" t="s">
        <v>408</v>
      </c>
      <c r="Q23" s="27" t="s">
        <v>724</v>
      </c>
      <c r="R23" s="27"/>
      <c r="S23" s="28" t="str">
        <f aca="false">"392,5"</f>
        <v>392,5</v>
      </c>
      <c r="T23" s="28" t="str">
        <f aca="false">"244,7131"</f>
        <v>244,7131</v>
      </c>
      <c r="U23" s="28"/>
    </row>
    <row r="25" customFormat="false" ht="15.6" hidden="false" customHeight="false" outlineLevel="0" collapsed="false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customFormat="false" ht="13.2" hidden="false" customHeight="false" outlineLevel="0" collapsed="false">
      <c r="A26" s="19" t="s">
        <v>1004</v>
      </c>
      <c r="B26" s="20" t="s">
        <v>1005</v>
      </c>
      <c r="C26" s="20" t="s">
        <v>1006</v>
      </c>
      <c r="D26" s="20" t="str">
        <f aca="false">"0,5848"</f>
        <v>0,5848</v>
      </c>
      <c r="E26" s="21" t="s">
        <v>426</v>
      </c>
      <c r="F26" s="21" t="s">
        <v>29</v>
      </c>
      <c r="G26" s="20" t="s">
        <v>422</v>
      </c>
      <c r="H26" s="20" t="s">
        <v>501</v>
      </c>
      <c r="I26" s="20" t="s">
        <v>514</v>
      </c>
      <c r="J26" s="22"/>
      <c r="K26" s="20" t="s">
        <v>408</v>
      </c>
      <c r="L26" s="20" t="s">
        <v>724</v>
      </c>
      <c r="M26" s="22" t="s">
        <v>349</v>
      </c>
      <c r="N26" s="22"/>
      <c r="O26" s="20" t="s">
        <v>502</v>
      </c>
      <c r="P26" s="20" t="s">
        <v>1007</v>
      </c>
      <c r="Q26" s="22" t="s">
        <v>1008</v>
      </c>
      <c r="R26" s="22"/>
      <c r="S26" s="23" t="str">
        <f aca="false">"640,0"</f>
        <v>640,0</v>
      </c>
      <c r="T26" s="23" t="str">
        <f aca="false">"374,2720"</f>
        <v>374,2720</v>
      </c>
      <c r="U26" s="23"/>
    </row>
    <row r="27" customFormat="false" ht="13.2" hidden="false" customHeight="false" outlineLevel="0" collapsed="false">
      <c r="A27" s="30" t="s">
        <v>1009</v>
      </c>
      <c r="B27" s="31" t="s">
        <v>1010</v>
      </c>
      <c r="C27" s="31" t="s">
        <v>1011</v>
      </c>
      <c r="D27" s="31" t="str">
        <f aca="false">"0,5908"</f>
        <v>0,5908</v>
      </c>
      <c r="E27" s="32" t="s">
        <v>12</v>
      </c>
      <c r="F27" s="32" t="s">
        <v>29</v>
      </c>
      <c r="G27" s="31" t="s">
        <v>354</v>
      </c>
      <c r="H27" s="31" t="s">
        <v>355</v>
      </c>
      <c r="I27" s="31" t="s">
        <v>430</v>
      </c>
      <c r="J27" s="33"/>
      <c r="K27" s="31" t="s">
        <v>383</v>
      </c>
      <c r="L27" s="31" t="s">
        <v>349</v>
      </c>
      <c r="M27" s="33" t="s">
        <v>409</v>
      </c>
      <c r="N27" s="33"/>
      <c r="O27" s="31" t="s">
        <v>430</v>
      </c>
      <c r="P27" s="31" t="s">
        <v>994</v>
      </c>
      <c r="Q27" s="31" t="s">
        <v>559</v>
      </c>
      <c r="R27" s="33"/>
      <c r="S27" s="34" t="str">
        <f aca="false">"575,0"</f>
        <v>575,0</v>
      </c>
      <c r="T27" s="34" t="str">
        <f aca="false">"339,7100"</f>
        <v>339,7100</v>
      </c>
      <c r="U27" s="34"/>
    </row>
    <row r="28" customFormat="false" ht="13.2" hidden="false" customHeight="false" outlineLevel="0" collapsed="false">
      <c r="A28" s="30" t="s">
        <v>1012</v>
      </c>
      <c r="B28" s="31" t="s">
        <v>1013</v>
      </c>
      <c r="C28" s="31" t="s">
        <v>169</v>
      </c>
      <c r="D28" s="31" t="str">
        <f aca="false">"0,5859"</f>
        <v>0,5859</v>
      </c>
      <c r="E28" s="32" t="s">
        <v>12</v>
      </c>
      <c r="F28" s="32" t="s">
        <v>229</v>
      </c>
      <c r="G28" s="33" t="s">
        <v>402</v>
      </c>
      <c r="H28" s="31" t="s">
        <v>354</v>
      </c>
      <c r="I28" s="33" t="s">
        <v>430</v>
      </c>
      <c r="J28" s="33"/>
      <c r="K28" s="31" t="s">
        <v>170</v>
      </c>
      <c r="L28" s="31" t="s">
        <v>390</v>
      </c>
      <c r="M28" s="31" t="s">
        <v>661</v>
      </c>
      <c r="N28" s="33"/>
      <c r="O28" s="31" t="s">
        <v>354</v>
      </c>
      <c r="P28" s="31" t="s">
        <v>430</v>
      </c>
      <c r="Q28" s="31" t="s">
        <v>501</v>
      </c>
      <c r="R28" s="33"/>
      <c r="S28" s="34" t="str">
        <f aca="false">"520,0"</f>
        <v>520,0</v>
      </c>
      <c r="T28" s="34" t="str">
        <f aca="false">"304,6420"</f>
        <v>304,6420</v>
      </c>
      <c r="U28" s="34"/>
    </row>
    <row r="29" customFormat="false" ht="13.2" hidden="false" customHeight="false" outlineLevel="0" collapsed="false">
      <c r="A29" s="24" t="s">
        <v>1014</v>
      </c>
      <c r="B29" s="25" t="s">
        <v>1015</v>
      </c>
      <c r="C29" s="25" t="s">
        <v>1011</v>
      </c>
      <c r="D29" s="25" t="str">
        <f aca="false">"0,5908"</f>
        <v>0,5908</v>
      </c>
      <c r="E29" s="26" t="s">
        <v>12</v>
      </c>
      <c r="F29" s="26" t="s">
        <v>29</v>
      </c>
      <c r="G29" s="25" t="s">
        <v>354</v>
      </c>
      <c r="H29" s="25" t="s">
        <v>355</v>
      </c>
      <c r="I29" s="25" t="s">
        <v>430</v>
      </c>
      <c r="J29" s="27"/>
      <c r="K29" s="25" t="s">
        <v>383</v>
      </c>
      <c r="L29" s="25" t="s">
        <v>349</v>
      </c>
      <c r="M29" s="27" t="s">
        <v>409</v>
      </c>
      <c r="N29" s="27"/>
      <c r="O29" s="25" t="s">
        <v>430</v>
      </c>
      <c r="P29" s="25" t="s">
        <v>994</v>
      </c>
      <c r="Q29" s="25" t="s">
        <v>559</v>
      </c>
      <c r="R29" s="27"/>
      <c r="S29" s="28" t="str">
        <f aca="false">"575,0"</f>
        <v>575,0</v>
      </c>
      <c r="T29" s="28" t="str">
        <f aca="false">"346,5042"</f>
        <v>346,5042</v>
      </c>
      <c r="U29" s="28"/>
    </row>
    <row r="31" customFormat="false" ht="15.6" hidden="false" customHeight="false" outlineLevel="0" collapsed="false">
      <c r="A31" s="18" t="s">
        <v>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customFormat="false" ht="13.2" hidden="false" customHeight="false" outlineLevel="0" collapsed="false">
      <c r="A32" s="19" t="s">
        <v>1016</v>
      </c>
      <c r="B32" s="20" t="s">
        <v>1017</v>
      </c>
      <c r="C32" s="20" t="s">
        <v>1018</v>
      </c>
      <c r="D32" s="20" t="str">
        <f aca="false">"0,5760"</f>
        <v>0,5760</v>
      </c>
      <c r="E32" s="21" t="s">
        <v>140</v>
      </c>
      <c r="F32" s="21" t="s">
        <v>229</v>
      </c>
      <c r="G32" s="20" t="s">
        <v>514</v>
      </c>
      <c r="H32" s="20" t="s">
        <v>503</v>
      </c>
      <c r="I32" s="22" t="s">
        <v>1019</v>
      </c>
      <c r="J32" s="22"/>
      <c r="K32" s="20" t="s">
        <v>383</v>
      </c>
      <c r="L32" s="20" t="s">
        <v>409</v>
      </c>
      <c r="M32" s="20" t="s">
        <v>402</v>
      </c>
      <c r="N32" s="22"/>
      <c r="O32" s="20" t="s">
        <v>1019</v>
      </c>
      <c r="P32" s="20" t="s">
        <v>37</v>
      </c>
      <c r="Q32" s="20" t="s">
        <v>43</v>
      </c>
      <c r="R32" s="22"/>
      <c r="S32" s="23" t="str">
        <f aca="false">"730,0"</f>
        <v>730,0</v>
      </c>
      <c r="T32" s="23" t="str">
        <f aca="false">"420,5165"</f>
        <v>420,5165</v>
      </c>
      <c r="U32" s="23"/>
    </row>
    <row r="33" customFormat="false" ht="13.2" hidden="false" customHeight="false" outlineLevel="0" collapsed="false">
      <c r="A33" s="30" t="s">
        <v>1020</v>
      </c>
      <c r="B33" s="31" t="s">
        <v>1021</v>
      </c>
      <c r="C33" s="31" t="s">
        <v>1022</v>
      </c>
      <c r="D33" s="31" t="str">
        <f aca="false">"0,5647"</f>
        <v>0,5647</v>
      </c>
      <c r="E33" s="32" t="s">
        <v>12</v>
      </c>
      <c r="F33" s="32" t="s">
        <v>1023</v>
      </c>
      <c r="G33" s="31" t="s">
        <v>501</v>
      </c>
      <c r="H33" s="31" t="s">
        <v>360</v>
      </c>
      <c r="I33" s="31" t="s">
        <v>502</v>
      </c>
      <c r="J33" s="33"/>
      <c r="K33" s="31" t="s">
        <v>383</v>
      </c>
      <c r="L33" s="33" t="s">
        <v>349</v>
      </c>
      <c r="M33" s="33"/>
      <c r="N33" s="33"/>
      <c r="O33" s="31" t="s">
        <v>189</v>
      </c>
      <c r="P33" s="31" t="s">
        <v>31</v>
      </c>
      <c r="Q33" s="33"/>
      <c r="R33" s="33"/>
      <c r="S33" s="34" t="str">
        <f aca="false">"675,0"</f>
        <v>675,0</v>
      </c>
      <c r="T33" s="34" t="str">
        <f aca="false">"381,1725"</f>
        <v>381,1725</v>
      </c>
      <c r="U33" s="34"/>
    </row>
    <row r="34" customFormat="false" ht="13.2" hidden="false" customHeight="false" outlineLevel="0" collapsed="false">
      <c r="A34" s="30" t="s">
        <v>1024</v>
      </c>
      <c r="B34" s="31" t="s">
        <v>1025</v>
      </c>
      <c r="C34" s="31" t="s">
        <v>1026</v>
      </c>
      <c r="D34" s="31" t="str">
        <f aca="false">"0,5759"</f>
        <v>0,5759</v>
      </c>
      <c r="E34" s="32" t="s">
        <v>12</v>
      </c>
      <c r="F34" s="32" t="s">
        <v>29</v>
      </c>
      <c r="G34" s="31" t="s">
        <v>501</v>
      </c>
      <c r="H34" s="33" t="s">
        <v>360</v>
      </c>
      <c r="I34" s="31" t="s">
        <v>360</v>
      </c>
      <c r="J34" s="33"/>
      <c r="K34" s="31" t="s">
        <v>341</v>
      </c>
      <c r="L34" s="31" t="s">
        <v>383</v>
      </c>
      <c r="M34" s="33" t="s">
        <v>342</v>
      </c>
      <c r="N34" s="33"/>
      <c r="O34" s="31" t="s">
        <v>501</v>
      </c>
      <c r="P34" s="31" t="s">
        <v>360</v>
      </c>
      <c r="Q34" s="31" t="s">
        <v>514</v>
      </c>
      <c r="R34" s="33"/>
      <c r="S34" s="34" t="str">
        <f aca="false">"625,0"</f>
        <v>625,0</v>
      </c>
      <c r="T34" s="34" t="str">
        <f aca="false">"359,9063"</f>
        <v>359,9063</v>
      </c>
      <c r="U34" s="34"/>
    </row>
    <row r="35" customFormat="false" ht="13.2" hidden="false" customHeight="false" outlineLevel="0" collapsed="false">
      <c r="A35" s="24" t="s">
        <v>1027</v>
      </c>
      <c r="B35" s="25" t="s">
        <v>1028</v>
      </c>
      <c r="C35" s="25" t="s">
        <v>1029</v>
      </c>
      <c r="D35" s="25" t="str">
        <f aca="false">"0,5625"</f>
        <v>0,5625</v>
      </c>
      <c r="E35" s="26" t="s">
        <v>140</v>
      </c>
      <c r="F35" s="26" t="s">
        <v>229</v>
      </c>
      <c r="G35" s="25" t="s">
        <v>501</v>
      </c>
      <c r="H35" s="25" t="s">
        <v>502</v>
      </c>
      <c r="I35" s="25" t="s">
        <v>24</v>
      </c>
      <c r="J35" s="27"/>
      <c r="K35" s="25" t="s">
        <v>180</v>
      </c>
      <c r="L35" s="25" t="s">
        <v>660</v>
      </c>
      <c r="M35" s="25" t="s">
        <v>661</v>
      </c>
      <c r="N35" s="27"/>
      <c r="O35" s="25" t="s">
        <v>430</v>
      </c>
      <c r="P35" s="25" t="s">
        <v>501</v>
      </c>
      <c r="Q35" s="27" t="s">
        <v>360</v>
      </c>
      <c r="R35" s="27"/>
      <c r="S35" s="28" t="str">
        <f aca="false">"585,0"</f>
        <v>585,0</v>
      </c>
      <c r="T35" s="28" t="str">
        <f aca="false">"329,0625"</f>
        <v>329,0625</v>
      </c>
      <c r="U35" s="28"/>
    </row>
    <row r="37" customFormat="false" ht="15" hidden="false" customHeight="false" outlineLevel="0" collapsed="false">
      <c r="E37" s="35" t="s">
        <v>56</v>
      </c>
    </row>
    <row r="38" customFormat="false" ht="15" hidden="false" customHeight="false" outlineLevel="0" collapsed="false">
      <c r="E38" s="35" t="s">
        <v>57</v>
      </c>
    </row>
    <row r="39" customFormat="false" ht="15" hidden="false" customHeight="false" outlineLevel="0" collapsed="false">
      <c r="E39" s="35" t="s">
        <v>58</v>
      </c>
    </row>
    <row r="40" customFormat="false" ht="13.2" hidden="false" customHeight="false" outlineLevel="0" collapsed="false">
      <c r="E40" s="3" t="s">
        <v>59</v>
      </c>
    </row>
    <row r="41" customFormat="false" ht="13.2" hidden="false" customHeight="false" outlineLevel="0" collapsed="false">
      <c r="E41" s="3" t="s">
        <v>60</v>
      </c>
    </row>
    <row r="42" customFormat="false" ht="13.2" hidden="false" customHeight="false" outlineLevel="0" collapsed="false">
      <c r="E42" s="3" t="s">
        <v>61</v>
      </c>
    </row>
    <row r="45" customFormat="false" ht="17.4" hidden="false" customHeight="false" outlineLevel="0" collapsed="false">
      <c r="A45" s="36" t="s">
        <v>62</v>
      </c>
      <c r="B45" s="37"/>
    </row>
    <row r="46" customFormat="false" ht="15.6" hidden="false" customHeight="false" outlineLevel="0" collapsed="false">
      <c r="A46" s="38" t="s">
        <v>182</v>
      </c>
      <c r="B46" s="18"/>
    </row>
    <row r="47" customFormat="false" ht="14.4" hidden="false" customHeight="false" outlineLevel="0" collapsed="false">
      <c r="A47" s="39"/>
      <c r="B47" s="40" t="s">
        <v>64</v>
      </c>
    </row>
    <row r="48" customFormat="false" ht="13.8" hidden="false" customHeight="false" outlineLevel="0" collapsed="false">
      <c r="A48" s="41" t="s">
        <v>1</v>
      </c>
      <c r="B48" s="41" t="s">
        <v>65</v>
      </c>
      <c r="C48" s="41" t="s">
        <v>66</v>
      </c>
      <c r="D48" s="41" t="s">
        <v>962</v>
      </c>
      <c r="E48" s="41" t="s">
        <v>4</v>
      </c>
    </row>
    <row r="49" customFormat="false" ht="13.2" hidden="false" customHeight="false" outlineLevel="0" collapsed="false">
      <c r="A49" s="42" t="s">
        <v>1030</v>
      </c>
      <c r="B49" s="2" t="s">
        <v>64</v>
      </c>
      <c r="C49" s="2" t="s">
        <v>124</v>
      </c>
      <c r="D49" s="2" t="s">
        <v>1031</v>
      </c>
      <c r="E49" s="1" t="s">
        <v>1032</v>
      </c>
    </row>
    <row r="50" customFormat="false" ht="13.2" hidden="false" customHeight="false" outlineLevel="0" collapsed="false">
      <c r="A50" s="42" t="s">
        <v>1033</v>
      </c>
      <c r="B50" s="2" t="s">
        <v>64</v>
      </c>
      <c r="C50" s="2" t="s">
        <v>247</v>
      </c>
      <c r="D50" s="2" t="s">
        <v>1034</v>
      </c>
      <c r="E50" s="1" t="s">
        <v>1035</v>
      </c>
    </row>
    <row r="51" customFormat="false" ht="13.2" hidden="false" customHeight="false" outlineLevel="0" collapsed="false">
      <c r="A51" s="42" t="s">
        <v>1036</v>
      </c>
      <c r="B51" s="2" t="s">
        <v>64</v>
      </c>
      <c r="C51" s="2" t="s">
        <v>250</v>
      </c>
      <c r="D51" s="2" t="s">
        <v>30</v>
      </c>
      <c r="E51" s="1" t="s">
        <v>1037</v>
      </c>
    </row>
    <row r="52" customFormat="false" ht="13.2" hidden="false" customHeight="false" outlineLevel="0" collapsed="false">
      <c r="A52" s="42" t="s">
        <v>1038</v>
      </c>
      <c r="B52" s="2" t="s">
        <v>64</v>
      </c>
      <c r="C52" s="2" t="s">
        <v>247</v>
      </c>
      <c r="D52" s="2" t="s">
        <v>360</v>
      </c>
      <c r="E52" s="1" t="s">
        <v>1039</v>
      </c>
    </row>
    <row r="54" customFormat="false" ht="14.4" hidden="false" customHeight="false" outlineLevel="0" collapsed="false">
      <c r="A54" s="39"/>
      <c r="B54" s="40" t="s">
        <v>130</v>
      </c>
    </row>
    <row r="55" customFormat="false" ht="13.8" hidden="false" customHeight="false" outlineLevel="0" collapsed="false">
      <c r="A55" s="41" t="s">
        <v>1</v>
      </c>
      <c r="B55" s="41" t="s">
        <v>65</v>
      </c>
      <c r="C55" s="41" t="s">
        <v>66</v>
      </c>
      <c r="D55" s="41" t="s">
        <v>962</v>
      </c>
      <c r="E55" s="41" t="s">
        <v>4</v>
      </c>
    </row>
    <row r="56" customFormat="false" ht="13.2" hidden="false" customHeight="false" outlineLevel="0" collapsed="false">
      <c r="A56" s="42" t="s">
        <v>1040</v>
      </c>
      <c r="B56" s="2" t="s">
        <v>551</v>
      </c>
      <c r="C56" s="2" t="s">
        <v>124</v>
      </c>
      <c r="D56" s="2" t="s">
        <v>1041</v>
      </c>
      <c r="E56" s="1" t="s">
        <v>1042</v>
      </c>
    </row>
    <row r="57" customFormat="false" ht="13.2" hidden="false" customHeight="false" outlineLevel="0" collapsed="false">
      <c r="A57" s="42" t="s">
        <v>1043</v>
      </c>
      <c r="B57" s="2" t="s">
        <v>259</v>
      </c>
      <c r="C57" s="2" t="s">
        <v>250</v>
      </c>
      <c r="D57" s="2" t="s">
        <v>361</v>
      </c>
      <c r="E57" s="1" t="s">
        <v>1044</v>
      </c>
    </row>
    <row r="60" customFormat="false" ht="15.6" hidden="false" customHeight="false" outlineLevel="0" collapsed="false">
      <c r="A60" s="38" t="s">
        <v>63</v>
      </c>
      <c r="B60" s="18"/>
    </row>
    <row r="61" customFormat="false" ht="14.4" hidden="false" customHeight="false" outlineLevel="0" collapsed="false">
      <c r="A61" s="39"/>
      <c r="B61" s="40" t="s">
        <v>64</v>
      </c>
    </row>
    <row r="62" customFormat="false" ht="13.8" hidden="false" customHeight="false" outlineLevel="0" collapsed="false">
      <c r="A62" s="41" t="s">
        <v>1</v>
      </c>
      <c r="B62" s="41" t="s">
        <v>65</v>
      </c>
      <c r="C62" s="41" t="s">
        <v>66</v>
      </c>
      <c r="D62" s="41" t="s">
        <v>962</v>
      </c>
      <c r="E62" s="41" t="s">
        <v>4</v>
      </c>
    </row>
    <row r="63" customFormat="false" ht="13.2" hidden="false" customHeight="false" outlineLevel="0" collapsed="false">
      <c r="A63" s="42" t="s">
        <v>1045</v>
      </c>
      <c r="B63" s="2" t="s">
        <v>64</v>
      </c>
      <c r="C63" s="2" t="s">
        <v>195</v>
      </c>
      <c r="D63" s="2" t="s">
        <v>1046</v>
      </c>
      <c r="E63" s="1" t="s">
        <v>1047</v>
      </c>
    </row>
    <row r="64" customFormat="false" ht="13.2" hidden="false" customHeight="false" outlineLevel="0" collapsed="false">
      <c r="A64" s="42" t="s">
        <v>1048</v>
      </c>
      <c r="B64" s="2" t="s">
        <v>64</v>
      </c>
      <c r="C64" s="2" t="s">
        <v>124</v>
      </c>
      <c r="D64" s="2" t="s">
        <v>1049</v>
      </c>
      <c r="E64" s="1" t="s">
        <v>1050</v>
      </c>
    </row>
    <row r="65" customFormat="false" ht="13.2" hidden="false" customHeight="false" outlineLevel="0" collapsed="false">
      <c r="A65" s="42" t="s">
        <v>1051</v>
      </c>
      <c r="B65" s="2" t="s">
        <v>64</v>
      </c>
      <c r="C65" s="2" t="s">
        <v>195</v>
      </c>
      <c r="D65" s="2" t="s">
        <v>1052</v>
      </c>
      <c r="E65" s="1" t="s">
        <v>1053</v>
      </c>
    </row>
    <row r="66" customFormat="false" ht="13.2" hidden="false" customHeight="false" outlineLevel="0" collapsed="false">
      <c r="A66" s="42" t="s">
        <v>1054</v>
      </c>
      <c r="B66" s="2" t="s">
        <v>64</v>
      </c>
      <c r="C66" s="2" t="s">
        <v>77</v>
      </c>
      <c r="D66" s="2" t="s">
        <v>1055</v>
      </c>
      <c r="E66" s="1" t="s">
        <v>1056</v>
      </c>
    </row>
    <row r="67" customFormat="false" ht="13.2" hidden="false" customHeight="false" outlineLevel="0" collapsed="false">
      <c r="A67" s="42" t="s">
        <v>1057</v>
      </c>
      <c r="B67" s="2" t="s">
        <v>64</v>
      </c>
      <c r="C67" s="2" t="s">
        <v>195</v>
      </c>
      <c r="D67" s="2" t="s">
        <v>1058</v>
      </c>
      <c r="E67" s="1" t="s">
        <v>1059</v>
      </c>
    </row>
    <row r="68" customFormat="false" ht="13.2" hidden="false" customHeight="false" outlineLevel="0" collapsed="false">
      <c r="A68" s="42" t="s">
        <v>1060</v>
      </c>
      <c r="B68" s="2" t="s">
        <v>64</v>
      </c>
      <c r="C68" s="2" t="s">
        <v>77</v>
      </c>
      <c r="D68" s="2" t="s">
        <v>1061</v>
      </c>
      <c r="E68" s="1" t="s">
        <v>1062</v>
      </c>
    </row>
    <row r="69" customFormat="false" ht="13.2" hidden="false" customHeight="false" outlineLevel="0" collapsed="false">
      <c r="A69" s="42" t="s">
        <v>1063</v>
      </c>
      <c r="B69" s="2" t="s">
        <v>64</v>
      </c>
      <c r="C69" s="2" t="s">
        <v>195</v>
      </c>
      <c r="D69" s="2" t="s">
        <v>1064</v>
      </c>
      <c r="E69" s="1" t="s">
        <v>1065</v>
      </c>
    </row>
    <row r="70" customFormat="false" ht="13.2" hidden="false" customHeight="false" outlineLevel="0" collapsed="false">
      <c r="A70" s="42" t="s">
        <v>1066</v>
      </c>
      <c r="B70" s="2" t="s">
        <v>64</v>
      </c>
      <c r="C70" s="2" t="s">
        <v>69</v>
      </c>
      <c r="D70" s="2" t="s">
        <v>1067</v>
      </c>
      <c r="E70" s="1" t="s">
        <v>1068</v>
      </c>
    </row>
    <row r="71" customFormat="false" ht="13.2" hidden="false" customHeight="false" outlineLevel="0" collapsed="false">
      <c r="A71" s="42" t="s">
        <v>1069</v>
      </c>
      <c r="B71" s="2" t="s">
        <v>64</v>
      </c>
      <c r="C71" s="2" t="s">
        <v>77</v>
      </c>
      <c r="D71" s="2" t="s">
        <v>1070</v>
      </c>
      <c r="E71" s="1" t="s">
        <v>1071</v>
      </c>
    </row>
    <row r="72" customFormat="false" ht="13.2" hidden="false" customHeight="false" outlineLevel="0" collapsed="false">
      <c r="A72" s="42" t="s">
        <v>1072</v>
      </c>
      <c r="B72" s="2" t="s">
        <v>64</v>
      </c>
      <c r="C72" s="2" t="s">
        <v>69</v>
      </c>
      <c r="D72" s="2" t="s">
        <v>1073</v>
      </c>
      <c r="E72" s="1" t="s">
        <v>1074</v>
      </c>
    </row>
    <row r="74" customFormat="false" ht="14.4" hidden="false" customHeight="false" outlineLevel="0" collapsed="false">
      <c r="A74" s="39"/>
      <c r="B74" s="40" t="s">
        <v>130</v>
      </c>
    </row>
    <row r="75" customFormat="false" ht="13.8" hidden="false" customHeight="false" outlineLevel="0" collapsed="false">
      <c r="A75" s="41" t="s">
        <v>1</v>
      </c>
      <c r="B75" s="41" t="s">
        <v>65</v>
      </c>
      <c r="C75" s="41" t="s">
        <v>66</v>
      </c>
      <c r="D75" s="41" t="s">
        <v>962</v>
      </c>
      <c r="E75" s="41" t="s">
        <v>4</v>
      </c>
    </row>
    <row r="76" customFormat="false" ht="13.2" hidden="false" customHeight="false" outlineLevel="0" collapsed="false">
      <c r="A76" s="42" t="s">
        <v>1060</v>
      </c>
      <c r="B76" s="2" t="s">
        <v>259</v>
      </c>
      <c r="C76" s="2" t="s">
        <v>77</v>
      </c>
      <c r="D76" s="2" t="s">
        <v>1061</v>
      </c>
      <c r="E76" s="1" t="s">
        <v>1075</v>
      </c>
    </row>
    <row r="77" customFormat="false" ht="13.2" hidden="false" customHeight="false" outlineLevel="0" collapsed="false">
      <c r="A77" s="42" t="s">
        <v>1076</v>
      </c>
      <c r="B77" s="2" t="s">
        <v>259</v>
      </c>
      <c r="C77" s="2" t="s">
        <v>69</v>
      </c>
      <c r="D77" s="2" t="s">
        <v>1077</v>
      </c>
      <c r="E77" s="1" t="s">
        <v>1078</v>
      </c>
    </row>
  </sheetData>
  <mergeCells count="15">
    <mergeCell ref="A1:R2"/>
    <mergeCell ref="A3:A4"/>
    <mergeCell ref="B3:B4"/>
    <mergeCell ref="C3:C4"/>
    <mergeCell ref="D3:D4"/>
    <mergeCell ref="E3:E4"/>
    <mergeCell ref="F3:F4"/>
    <mergeCell ref="G3:R3"/>
    <mergeCell ref="A5:R5"/>
    <mergeCell ref="A9:R9"/>
    <mergeCell ref="A13:R13"/>
    <mergeCell ref="A17:R17"/>
    <mergeCell ref="A20:R20"/>
    <mergeCell ref="A25:R25"/>
    <mergeCell ref="A31:R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9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8.44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3" min="11" style="2" width="5.55"/>
    <col collapsed="false" customWidth="true" hidden="false" outlineLevel="0" max="14" min="14" style="2" width="2.12"/>
    <col collapsed="false" customWidth="true" hidden="false" outlineLevel="0" max="17" min="15" style="2" width="5.55"/>
    <col collapsed="false" customWidth="true" hidden="false" outlineLevel="0" max="18" min="18" style="2" width="3.22"/>
    <col collapsed="false" customWidth="true" hidden="false" outlineLevel="0" max="19" min="19" style="4" width="8"/>
    <col collapsed="false" customWidth="true" hidden="false" outlineLevel="0" max="20" min="20" style="4" width="10.99"/>
    <col collapsed="false" customWidth="false" hidden="false" outlineLevel="0" max="1024" min="21" style="4" width="9.13"/>
  </cols>
  <sheetData>
    <row r="1" customFormat="false" ht="28.95" hidden="false" customHeight="true" outlineLevel="0" collapsed="false">
      <c r="A1" s="5" t="s">
        <v>1079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5" t="s">
        <v>949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  <c r="K4" s="12" t="n">
        <v>5</v>
      </c>
      <c r="L4" s="12" t="n">
        <v>6</v>
      </c>
      <c r="M4" s="12" t="n">
        <v>7</v>
      </c>
      <c r="N4" s="12" t="n">
        <v>8</v>
      </c>
      <c r="O4" s="12" t="n">
        <v>9</v>
      </c>
      <c r="P4" s="12" t="n">
        <v>10</v>
      </c>
      <c r="Q4" s="12" t="n">
        <v>11</v>
      </c>
      <c r="R4" s="12" t="n">
        <v>12</v>
      </c>
    </row>
    <row r="5" s="2" customFormat="true" ht="15.6" hidden="false" customHeight="false" outlineLevel="0" collapsed="false">
      <c r="A5" s="13" t="s">
        <v>371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="2" customFormat="true" ht="13.2" hidden="false" customHeight="false" outlineLevel="0" collapsed="false">
      <c r="A6" s="14" t="s">
        <v>372</v>
      </c>
      <c r="B6" s="15" t="s">
        <v>373</v>
      </c>
      <c r="C6" s="15" t="s">
        <v>374</v>
      </c>
      <c r="D6" s="15" t="str">
        <f aca="false">"1,2019"</f>
        <v>1,2019</v>
      </c>
      <c r="E6" s="16" t="s">
        <v>12</v>
      </c>
      <c r="F6" s="16" t="s">
        <v>375</v>
      </c>
      <c r="G6" s="15" t="s">
        <v>108</v>
      </c>
      <c r="H6" s="15" t="s">
        <v>487</v>
      </c>
      <c r="I6" s="17" t="s">
        <v>592</v>
      </c>
      <c r="J6" s="17"/>
      <c r="K6" s="15" t="s">
        <v>141</v>
      </c>
      <c r="L6" s="15" t="s">
        <v>149</v>
      </c>
      <c r="M6" s="15" t="s">
        <v>284</v>
      </c>
      <c r="N6" s="17"/>
      <c r="O6" s="15" t="s">
        <v>180</v>
      </c>
      <c r="P6" s="15" t="s">
        <v>376</v>
      </c>
      <c r="Q6" s="15" t="s">
        <v>328</v>
      </c>
      <c r="R6" s="17"/>
      <c r="S6" s="15" t="s">
        <v>1080</v>
      </c>
      <c r="T6" s="15" t="s">
        <v>1081</v>
      </c>
      <c r="U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136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customFormat="false" ht="13.2" hidden="false" customHeight="false" outlineLevel="0" collapsed="false">
      <c r="A9" s="14" t="s">
        <v>1082</v>
      </c>
      <c r="B9" s="15" t="s">
        <v>1083</v>
      </c>
      <c r="C9" s="15" t="s">
        <v>485</v>
      </c>
      <c r="D9" s="15" t="str">
        <f aca="false">"1,1282"</f>
        <v>1,1282</v>
      </c>
      <c r="E9" s="16" t="s">
        <v>12</v>
      </c>
      <c r="F9" s="16" t="s">
        <v>29</v>
      </c>
      <c r="G9" s="17" t="s">
        <v>170</v>
      </c>
      <c r="H9" s="15" t="s">
        <v>170</v>
      </c>
      <c r="I9" s="15" t="s">
        <v>180</v>
      </c>
      <c r="J9" s="17"/>
      <c r="K9" s="15" t="s">
        <v>141</v>
      </c>
      <c r="L9" s="15" t="s">
        <v>149</v>
      </c>
      <c r="M9" s="15" t="s">
        <v>284</v>
      </c>
      <c r="N9" s="17"/>
      <c r="O9" s="15" t="s">
        <v>170</v>
      </c>
      <c r="P9" s="15" t="s">
        <v>629</v>
      </c>
      <c r="Q9" s="15" t="s">
        <v>630</v>
      </c>
      <c r="R9" s="17"/>
      <c r="S9" s="29" t="str">
        <f aca="false">"270,0"</f>
        <v>270,0</v>
      </c>
      <c r="T9" s="29" t="str">
        <f aca="false">"304,6140"</f>
        <v>304,6140</v>
      </c>
      <c r="U9" s="29"/>
    </row>
    <row r="11" customFormat="false" ht="15.6" hidden="false" customHeight="false" outlineLevel="0" collapsed="false">
      <c r="A11" s="18" t="s">
        <v>211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customFormat="false" ht="13.2" hidden="false" customHeight="false" outlineLevel="0" collapsed="false">
      <c r="A12" s="14" t="s">
        <v>619</v>
      </c>
      <c r="B12" s="15" t="s">
        <v>620</v>
      </c>
      <c r="C12" s="15" t="s">
        <v>621</v>
      </c>
      <c r="D12" s="15" t="str">
        <f aca="false">"1,0321"</f>
        <v>1,0321</v>
      </c>
      <c r="E12" s="16" t="s">
        <v>12</v>
      </c>
      <c r="F12" s="16" t="s">
        <v>622</v>
      </c>
      <c r="G12" s="15" t="s">
        <v>486</v>
      </c>
      <c r="H12" s="15" t="s">
        <v>487</v>
      </c>
      <c r="I12" s="17" t="s">
        <v>170</v>
      </c>
      <c r="J12" s="17"/>
      <c r="K12" s="15" t="s">
        <v>141</v>
      </c>
      <c r="L12" s="17" t="s">
        <v>284</v>
      </c>
      <c r="M12" s="17" t="s">
        <v>284</v>
      </c>
      <c r="N12" s="17"/>
      <c r="O12" s="15" t="s">
        <v>486</v>
      </c>
      <c r="P12" s="15" t="s">
        <v>487</v>
      </c>
      <c r="Q12" s="15" t="s">
        <v>170</v>
      </c>
      <c r="R12" s="17"/>
      <c r="S12" s="29" t="str">
        <f aca="false">"240,0"</f>
        <v>240,0</v>
      </c>
      <c r="T12" s="29" t="str">
        <f aca="false">"247,7040"</f>
        <v>247,7040</v>
      </c>
      <c r="U12" s="29"/>
    </row>
    <row r="14" customFormat="false" ht="15.6" hidden="false" customHeight="false" outlineLevel="0" collapsed="false">
      <c r="A14" s="18" t="s">
        <v>220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customFormat="false" ht="13.2" hidden="false" customHeight="false" outlineLevel="0" collapsed="false">
      <c r="A15" s="19" t="s">
        <v>1084</v>
      </c>
      <c r="B15" s="20" t="s">
        <v>1085</v>
      </c>
      <c r="C15" s="20" t="s">
        <v>1086</v>
      </c>
      <c r="D15" s="20" t="str">
        <f aca="false">"0,9200"</f>
        <v>0,9200</v>
      </c>
      <c r="E15" s="21" t="s">
        <v>426</v>
      </c>
      <c r="F15" s="21" t="s">
        <v>29</v>
      </c>
      <c r="G15" s="20" t="s">
        <v>180</v>
      </c>
      <c r="H15" s="20" t="s">
        <v>376</v>
      </c>
      <c r="I15" s="22" t="s">
        <v>661</v>
      </c>
      <c r="J15" s="22"/>
      <c r="K15" s="20" t="s">
        <v>149</v>
      </c>
      <c r="L15" s="20" t="s">
        <v>230</v>
      </c>
      <c r="M15" s="20" t="s">
        <v>285</v>
      </c>
      <c r="N15" s="22"/>
      <c r="O15" s="20" t="s">
        <v>660</v>
      </c>
      <c r="P15" s="20" t="s">
        <v>661</v>
      </c>
      <c r="Q15" s="20" t="s">
        <v>329</v>
      </c>
      <c r="R15" s="22"/>
      <c r="S15" s="23" t="str">
        <f aca="false">"300,0"</f>
        <v>300,0</v>
      </c>
      <c r="T15" s="23" t="str">
        <f aca="false">"275,9850"</f>
        <v>275,9850</v>
      </c>
      <c r="U15" s="23"/>
    </row>
    <row r="16" customFormat="false" ht="13.2" hidden="false" customHeight="false" outlineLevel="0" collapsed="false">
      <c r="A16" s="24" t="s">
        <v>1087</v>
      </c>
      <c r="B16" s="25" t="s">
        <v>1088</v>
      </c>
      <c r="C16" s="25" t="s">
        <v>983</v>
      </c>
      <c r="D16" s="25" t="str">
        <f aca="false">"0,9334"</f>
        <v>0,9334</v>
      </c>
      <c r="E16" s="26" t="s">
        <v>12</v>
      </c>
      <c r="F16" s="26" t="s">
        <v>29</v>
      </c>
      <c r="G16" s="25" t="s">
        <v>108</v>
      </c>
      <c r="H16" s="27" t="s">
        <v>487</v>
      </c>
      <c r="I16" s="27" t="s">
        <v>647</v>
      </c>
      <c r="J16" s="27"/>
      <c r="K16" s="25" t="s">
        <v>236</v>
      </c>
      <c r="L16" s="25" t="s">
        <v>155</v>
      </c>
      <c r="M16" s="27" t="s">
        <v>240</v>
      </c>
      <c r="N16" s="27"/>
      <c r="O16" s="25" t="s">
        <v>329</v>
      </c>
      <c r="P16" s="25" t="s">
        <v>330</v>
      </c>
      <c r="Q16" s="25" t="s">
        <v>331</v>
      </c>
      <c r="R16" s="27"/>
      <c r="S16" s="28" t="str">
        <f aca="false">"290,0"</f>
        <v>290,0</v>
      </c>
      <c r="T16" s="28" t="str">
        <f aca="false">"270,7005"</f>
        <v>270,7005</v>
      </c>
      <c r="U16" s="28"/>
    </row>
    <row r="18" customFormat="false" ht="15.6" hidden="false" customHeight="false" outlineLevel="0" collapsed="false">
      <c r="A18" s="18" t="s">
        <v>83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customFormat="false" ht="13.2" hidden="false" customHeight="false" outlineLevel="0" collapsed="false">
      <c r="A19" s="19" t="s">
        <v>1089</v>
      </c>
      <c r="B19" s="20" t="s">
        <v>1090</v>
      </c>
      <c r="C19" s="20" t="s">
        <v>159</v>
      </c>
      <c r="D19" s="20" t="str">
        <f aca="false">"0,8399"</f>
        <v>0,8399</v>
      </c>
      <c r="E19" s="21" t="s">
        <v>426</v>
      </c>
      <c r="F19" s="21" t="s">
        <v>29</v>
      </c>
      <c r="G19" s="20" t="s">
        <v>88</v>
      </c>
      <c r="H19" s="20" t="s">
        <v>108</v>
      </c>
      <c r="I19" s="20" t="s">
        <v>647</v>
      </c>
      <c r="J19" s="22"/>
      <c r="K19" s="20" t="s">
        <v>285</v>
      </c>
      <c r="L19" s="20" t="s">
        <v>155</v>
      </c>
      <c r="M19" s="20" t="s">
        <v>88</v>
      </c>
      <c r="N19" s="22"/>
      <c r="O19" s="20" t="s">
        <v>108</v>
      </c>
      <c r="P19" s="20" t="s">
        <v>170</v>
      </c>
      <c r="Q19" s="20" t="s">
        <v>390</v>
      </c>
      <c r="R19" s="22"/>
      <c r="S19" s="23" t="str">
        <f aca="false">"280,0"</f>
        <v>280,0</v>
      </c>
      <c r="T19" s="23" t="str">
        <f aca="false">"235,1720"</f>
        <v>235,1720</v>
      </c>
      <c r="U19" s="23"/>
    </row>
    <row r="20" customFormat="false" ht="13.2" hidden="false" customHeight="false" outlineLevel="0" collapsed="false">
      <c r="A20" s="30" t="s">
        <v>1091</v>
      </c>
      <c r="B20" s="31" t="s">
        <v>1092</v>
      </c>
      <c r="C20" s="31" t="s">
        <v>416</v>
      </c>
      <c r="D20" s="31" t="str">
        <f aca="false">"0,8391"</f>
        <v>0,8391</v>
      </c>
      <c r="E20" s="32" t="s">
        <v>12</v>
      </c>
      <c r="F20" s="32" t="s">
        <v>29</v>
      </c>
      <c r="G20" s="31" t="s">
        <v>88</v>
      </c>
      <c r="H20" s="31" t="s">
        <v>486</v>
      </c>
      <c r="I20" s="31" t="s">
        <v>108</v>
      </c>
      <c r="J20" s="33"/>
      <c r="K20" s="33" t="s">
        <v>272</v>
      </c>
      <c r="L20" s="31" t="s">
        <v>272</v>
      </c>
      <c r="M20" s="33" t="s">
        <v>975</v>
      </c>
      <c r="N20" s="33"/>
      <c r="O20" s="31" t="s">
        <v>180</v>
      </c>
      <c r="P20" s="31" t="s">
        <v>390</v>
      </c>
      <c r="Q20" s="31" t="s">
        <v>661</v>
      </c>
      <c r="R20" s="33"/>
      <c r="S20" s="34" t="str">
        <f aca="false">"250,0"</f>
        <v>250,0</v>
      </c>
      <c r="T20" s="34" t="str">
        <f aca="false">"209,7750"</f>
        <v>209,7750</v>
      </c>
      <c r="U20" s="34"/>
    </row>
    <row r="21" customFormat="false" ht="13.2" hidden="false" customHeight="false" outlineLevel="0" collapsed="false">
      <c r="A21" s="24" t="s">
        <v>1093</v>
      </c>
      <c r="B21" s="25" t="s">
        <v>645</v>
      </c>
      <c r="C21" s="25" t="s">
        <v>646</v>
      </c>
      <c r="D21" s="25" t="str">
        <f aca="false">"0,8687"</f>
        <v>0,8687</v>
      </c>
      <c r="E21" s="26" t="s">
        <v>12</v>
      </c>
      <c r="F21" s="26" t="s">
        <v>622</v>
      </c>
      <c r="G21" s="27" t="s">
        <v>486</v>
      </c>
      <c r="H21" s="27" t="s">
        <v>486</v>
      </c>
      <c r="I21" s="25" t="s">
        <v>486</v>
      </c>
      <c r="J21" s="27"/>
      <c r="K21" s="27" t="s">
        <v>141</v>
      </c>
      <c r="L21" s="25" t="s">
        <v>141</v>
      </c>
      <c r="M21" s="27" t="s">
        <v>284</v>
      </c>
      <c r="N21" s="27"/>
      <c r="O21" s="25" t="s">
        <v>487</v>
      </c>
      <c r="P21" s="25" t="s">
        <v>170</v>
      </c>
      <c r="Q21" s="25" t="s">
        <v>390</v>
      </c>
      <c r="R21" s="27"/>
      <c r="S21" s="28" t="str">
        <f aca="false">"240,0"</f>
        <v>240,0</v>
      </c>
      <c r="T21" s="28" t="str">
        <f aca="false">"208,4880"</f>
        <v>208,4880</v>
      </c>
      <c r="U21" s="28"/>
    </row>
    <row r="23" customFormat="false" ht="15.6" hidden="false" customHeight="false" outlineLevel="0" collapsed="false">
      <c r="A23" s="18" t="s">
        <v>220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customFormat="false" ht="13.2" hidden="false" customHeight="false" outlineLevel="0" collapsed="false">
      <c r="A24" s="14" t="s">
        <v>1094</v>
      </c>
      <c r="B24" s="15" t="s">
        <v>1095</v>
      </c>
      <c r="C24" s="15" t="s">
        <v>275</v>
      </c>
      <c r="D24" s="15" t="str">
        <f aca="false">"0,7522"</f>
        <v>0,7522</v>
      </c>
      <c r="E24" s="16" t="s">
        <v>12</v>
      </c>
      <c r="F24" s="16" t="s">
        <v>29</v>
      </c>
      <c r="G24" s="15" t="s">
        <v>728</v>
      </c>
      <c r="H24" s="15" t="s">
        <v>343</v>
      </c>
      <c r="I24" s="17" t="s">
        <v>351</v>
      </c>
      <c r="J24" s="17"/>
      <c r="K24" s="15" t="s">
        <v>661</v>
      </c>
      <c r="L24" s="15" t="s">
        <v>329</v>
      </c>
      <c r="M24" s="15" t="s">
        <v>739</v>
      </c>
      <c r="N24" s="17"/>
      <c r="O24" s="15" t="s">
        <v>402</v>
      </c>
      <c r="P24" s="15" t="s">
        <v>354</v>
      </c>
      <c r="Q24" s="15" t="s">
        <v>355</v>
      </c>
      <c r="R24" s="17"/>
      <c r="S24" s="29" t="str">
        <f aca="false">"507,5"</f>
        <v>507,5</v>
      </c>
      <c r="T24" s="29" t="str">
        <f aca="false">"381,7415"</f>
        <v>381,7415</v>
      </c>
      <c r="U24" s="29"/>
    </row>
    <row r="26" customFormat="false" ht="15.6" hidden="false" customHeight="false" outlineLevel="0" collapsed="false">
      <c r="A26" s="18" t="s">
        <v>83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customFormat="false" ht="13.2" hidden="false" customHeight="false" outlineLevel="0" collapsed="false">
      <c r="A27" s="14" t="s">
        <v>1096</v>
      </c>
      <c r="B27" s="15" t="s">
        <v>1097</v>
      </c>
      <c r="C27" s="15" t="s">
        <v>989</v>
      </c>
      <c r="D27" s="15" t="str">
        <f aca="false">"0,6906"</f>
        <v>0,6906</v>
      </c>
      <c r="E27" s="16" t="s">
        <v>694</v>
      </c>
      <c r="F27" s="16" t="s">
        <v>695</v>
      </c>
      <c r="G27" s="15" t="s">
        <v>354</v>
      </c>
      <c r="H27" s="17" t="s">
        <v>343</v>
      </c>
      <c r="I27" s="17" t="s">
        <v>343</v>
      </c>
      <c r="J27" s="17"/>
      <c r="K27" s="17" t="s">
        <v>180</v>
      </c>
      <c r="L27" s="17" t="s">
        <v>390</v>
      </c>
      <c r="M27" s="15" t="s">
        <v>390</v>
      </c>
      <c r="N27" s="17"/>
      <c r="O27" s="15" t="s">
        <v>355</v>
      </c>
      <c r="P27" s="17" t="s">
        <v>430</v>
      </c>
      <c r="Q27" s="15" t="s">
        <v>430</v>
      </c>
      <c r="R27" s="17"/>
      <c r="S27" s="29" t="str">
        <f aca="false">"490,0"</f>
        <v>490,0</v>
      </c>
      <c r="T27" s="29" t="str">
        <f aca="false">"338,3940"</f>
        <v>338,3940</v>
      </c>
      <c r="U27" s="29"/>
    </row>
    <row r="29" customFormat="false" ht="15.6" hidden="false" customHeight="false" outlineLevel="0" collapsed="false">
      <c r="A29" s="18" t="s">
        <v>98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customFormat="false" ht="13.2" hidden="false" customHeight="false" outlineLevel="0" collapsed="false">
      <c r="A30" s="19" t="s">
        <v>418</v>
      </c>
      <c r="B30" s="20" t="s">
        <v>419</v>
      </c>
      <c r="C30" s="20" t="s">
        <v>420</v>
      </c>
      <c r="D30" s="20" t="str">
        <f aca="false">"0,6497"</f>
        <v>0,6497</v>
      </c>
      <c r="E30" s="21" t="s">
        <v>12</v>
      </c>
      <c r="F30" s="21" t="s">
        <v>375</v>
      </c>
      <c r="G30" s="20" t="s">
        <v>409</v>
      </c>
      <c r="H30" s="20" t="s">
        <v>350</v>
      </c>
      <c r="I30" s="20" t="s">
        <v>413</v>
      </c>
      <c r="J30" s="22"/>
      <c r="K30" s="20" t="s">
        <v>341</v>
      </c>
      <c r="L30" s="20" t="s">
        <v>383</v>
      </c>
      <c r="M30" s="22" t="s">
        <v>384</v>
      </c>
      <c r="N30" s="22"/>
      <c r="O30" s="20" t="s">
        <v>24</v>
      </c>
      <c r="P30" s="22" t="s">
        <v>25</v>
      </c>
      <c r="Q30" s="20" t="s">
        <v>25</v>
      </c>
      <c r="R30" s="22"/>
      <c r="S30" s="23" t="str">
        <f aca="false">"587,5"</f>
        <v>587,5</v>
      </c>
      <c r="T30" s="23" t="str">
        <f aca="false">"381,7281"</f>
        <v>381,7281</v>
      </c>
      <c r="U30" s="23"/>
    </row>
    <row r="31" customFormat="false" ht="13.2" hidden="false" customHeight="false" outlineLevel="0" collapsed="false">
      <c r="A31" s="30" t="s">
        <v>1098</v>
      </c>
      <c r="B31" s="31" t="s">
        <v>1099</v>
      </c>
      <c r="C31" s="31" t="s">
        <v>719</v>
      </c>
      <c r="D31" s="31" t="str">
        <f aca="false">"0,6456"</f>
        <v>0,6456</v>
      </c>
      <c r="E31" s="32" t="s">
        <v>12</v>
      </c>
      <c r="F31" s="32" t="s">
        <v>29</v>
      </c>
      <c r="G31" s="31" t="s">
        <v>383</v>
      </c>
      <c r="H31" s="31" t="s">
        <v>402</v>
      </c>
      <c r="I31" s="33" t="s">
        <v>413</v>
      </c>
      <c r="J31" s="33"/>
      <c r="K31" s="31" t="s">
        <v>170</v>
      </c>
      <c r="L31" s="31" t="s">
        <v>390</v>
      </c>
      <c r="M31" s="33" t="s">
        <v>660</v>
      </c>
      <c r="N31" s="33"/>
      <c r="O31" s="31" t="s">
        <v>402</v>
      </c>
      <c r="P31" s="31" t="s">
        <v>355</v>
      </c>
      <c r="Q31" s="33" t="s">
        <v>994</v>
      </c>
      <c r="R31" s="33"/>
      <c r="S31" s="34" t="str">
        <f aca="false">"470,0"</f>
        <v>470,0</v>
      </c>
      <c r="T31" s="34" t="str">
        <f aca="false">"303,4320"</f>
        <v>303,4320</v>
      </c>
      <c r="U31" s="34"/>
    </row>
    <row r="32" customFormat="false" ht="13.2" hidden="false" customHeight="false" outlineLevel="0" collapsed="false">
      <c r="A32" s="30" t="s">
        <v>1100</v>
      </c>
      <c r="B32" s="31" t="s">
        <v>1101</v>
      </c>
      <c r="C32" s="31" t="s">
        <v>1102</v>
      </c>
      <c r="D32" s="31" t="str">
        <f aca="false">"0,6451"</f>
        <v>0,6451</v>
      </c>
      <c r="E32" s="32" t="s">
        <v>12</v>
      </c>
      <c r="F32" s="32" t="s">
        <v>29</v>
      </c>
      <c r="G32" s="31" t="s">
        <v>330</v>
      </c>
      <c r="H32" s="31" t="s">
        <v>341</v>
      </c>
      <c r="I32" s="31" t="s">
        <v>349</v>
      </c>
      <c r="J32" s="33"/>
      <c r="K32" s="33" t="s">
        <v>170</v>
      </c>
      <c r="L32" s="31" t="s">
        <v>390</v>
      </c>
      <c r="M32" s="31" t="s">
        <v>661</v>
      </c>
      <c r="N32" s="33"/>
      <c r="O32" s="31" t="s">
        <v>349</v>
      </c>
      <c r="P32" s="31" t="s">
        <v>958</v>
      </c>
      <c r="Q32" s="31" t="s">
        <v>355</v>
      </c>
      <c r="R32" s="33"/>
      <c r="S32" s="34" t="str">
        <f aca="false">"470,0"</f>
        <v>470,0</v>
      </c>
      <c r="T32" s="34" t="str">
        <f aca="false">"303,1970"</f>
        <v>303,1970</v>
      </c>
      <c r="U32" s="34"/>
    </row>
    <row r="33" customFormat="false" ht="13.2" hidden="false" customHeight="false" outlineLevel="0" collapsed="false">
      <c r="A33" s="24" t="s">
        <v>1103</v>
      </c>
      <c r="B33" s="25" t="s">
        <v>704</v>
      </c>
      <c r="C33" s="25" t="s">
        <v>705</v>
      </c>
      <c r="D33" s="25" t="str">
        <f aca="false">"0,6635"</f>
        <v>0,6635</v>
      </c>
      <c r="E33" s="26" t="s">
        <v>12</v>
      </c>
      <c r="F33" s="26" t="s">
        <v>622</v>
      </c>
      <c r="G33" s="25" t="s">
        <v>386</v>
      </c>
      <c r="H33" s="25" t="s">
        <v>341</v>
      </c>
      <c r="I33" s="25" t="s">
        <v>349</v>
      </c>
      <c r="J33" s="27"/>
      <c r="K33" s="25" t="s">
        <v>390</v>
      </c>
      <c r="L33" s="27" t="s">
        <v>661</v>
      </c>
      <c r="M33" s="25" t="s">
        <v>661</v>
      </c>
      <c r="N33" s="27"/>
      <c r="O33" s="25" t="s">
        <v>341</v>
      </c>
      <c r="P33" s="25" t="s">
        <v>349</v>
      </c>
      <c r="Q33" s="25" t="s">
        <v>402</v>
      </c>
      <c r="R33" s="27"/>
      <c r="S33" s="28" t="str">
        <f aca="false">"450,0"</f>
        <v>450,0</v>
      </c>
      <c r="T33" s="28" t="str">
        <f aca="false">"298,5750"</f>
        <v>298,5750</v>
      </c>
      <c r="U33" s="28"/>
    </row>
    <row r="35" customFormat="false" ht="15.6" hidden="false" customHeight="false" outlineLevel="0" collapsed="false">
      <c r="A35" s="18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customFormat="false" ht="13.2" hidden="false" customHeight="false" outlineLevel="0" collapsed="false">
      <c r="A36" s="19" t="s">
        <v>1104</v>
      </c>
      <c r="B36" s="20" t="s">
        <v>1105</v>
      </c>
      <c r="C36" s="20" t="s">
        <v>1106</v>
      </c>
      <c r="D36" s="20" t="str">
        <f aca="false">"0,6217"</f>
        <v>0,6217</v>
      </c>
      <c r="E36" s="21" t="s">
        <v>12</v>
      </c>
      <c r="F36" s="21" t="s">
        <v>29</v>
      </c>
      <c r="G36" s="20" t="s">
        <v>402</v>
      </c>
      <c r="H36" s="20" t="s">
        <v>354</v>
      </c>
      <c r="I36" s="20" t="s">
        <v>355</v>
      </c>
      <c r="J36" s="22"/>
      <c r="K36" s="20" t="s">
        <v>661</v>
      </c>
      <c r="L36" s="20" t="s">
        <v>330</v>
      </c>
      <c r="M36" s="20" t="s">
        <v>386</v>
      </c>
      <c r="N36" s="22"/>
      <c r="O36" s="20" t="s">
        <v>430</v>
      </c>
      <c r="P36" s="20" t="s">
        <v>994</v>
      </c>
      <c r="Q36" s="20" t="s">
        <v>360</v>
      </c>
      <c r="R36" s="22"/>
      <c r="S36" s="23" t="str">
        <f aca="false">"560,0"</f>
        <v>560,0</v>
      </c>
      <c r="T36" s="23" t="str">
        <f aca="false">"348,1800"</f>
        <v>348,1800</v>
      </c>
      <c r="U36" s="23"/>
    </row>
    <row r="37" customFormat="false" ht="13.2" hidden="false" customHeight="false" outlineLevel="0" collapsed="false">
      <c r="A37" s="24" t="s">
        <v>1107</v>
      </c>
      <c r="B37" s="25" t="s">
        <v>1108</v>
      </c>
      <c r="C37" s="25" t="s">
        <v>234</v>
      </c>
      <c r="D37" s="25" t="str">
        <f aca="false">"0,6119"</f>
        <v>0,6119</v>
      </c>
      <c r="E37" s="26" t="s">
        <v>140</v>
      </c>
      <c r="F37" s="26" t="s">
        <v>229</v>
      </c>
      <c r="G37" s="25" t="s">
        <v>355</v>
      </c>
      <c r="H37" s="25" t="s">
        <v>351</v>
      </c>
      <c r="I37" s="25" t="s">
        <v>430</v>
      </c>
      <c r="J37" s="27"/>
      <c r="K37" s="27" t="s">
        <v>331</v>
      </c>
      <c r="L37" s="25" t="s">
        <v>386</v>
      </c>
      <c r="M37" s="25" t="s">
        <v>408</v>
      </c>
      <c r="N37" s="27"/>
      <c r="O37" s="25" t="s">
        <v>430</v>
      </c>
      <c r="P37" s="25" t="s">
        <v>994</v>
      </c>
      <c r="Q37" s="27" t="s">
        <v>559</v>
      </c>
      <c r="R37" s="27"/>
      <c r="S37" s="28" t="str">
        <f aca="false">"555,0"</f>
        <v>555,0</v>
      </c>
      <c r="T37" s="28" t="str">
        <f aca="false">"339,5768"</f>
        <v>339,5768</v>
      </c>
      <c r="U37" s="28"/>
    </row>
    <row r="39" customFormat="false" ht="15.6" hidden="false" customHeight="false" outlineLevel="0" collapsed="false">
      <c r="A39" s="18" t="s">
        <v>19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customFormat="false" ht="13.2" hidden="false" customHeight="false" outlineLevel="0" collapsed="false">
      <c r="A40" s="19" t="s">
        <v>1109</v>
      </c>
      <c r="B40" s="20" t="s">
        <v>1110</v>
      </c>
      <c r="C40" s="20" t="s">
        <v>509</v>
      </c>
      <c r="D40" s="20" t="str">
        <f aca="false">"0,5833"</f>
        <v>0,5833</v>
      </c>
      <c r="E40" s="21" t="s">
        <v>426</v>
      </c>
      <c r="F40" s="21" t="s">
        <v>29</v>
      </c>
      <c r="G40" s="20" t="s">
        <v>994</v>
      </c>
      <c r="H40" s="20" t="s">
        <v>360</v>
      </c>
      <c r="I40" s="20" t="s">
        <v>24</v>
      </c>
      <c r="J40" s="22"/>
      <c r="K40" s="22" t="s">
        <v>383</v>
      </c>
      <c r="L40" s="20" t="s">
        <v>349</v>
      </c>
      <c r="M40" s="20" t="s">
        <v>409</v>
      </c>
      <c r="N40" s="22"/>
      <c r="O40" s="20" t="s">
        <v>31</v>
      </c>
      <c r="P40" s="20" t="s">
        <v>49</v>
      </c>
      <c r="Q40" s="22" t="s">
        <v>434</v>
      </c>
      <c r="R40" s="22"/>
      <c r="S40" s="23" t="str">
        <f aca="false">"715,0"</f>
        <v>715,0</v>
      </c>
      <c r="T40" s="23" t="str">
        <f aca="false">"417,0595"</f>
        <v>417,0595</v>
      </c>
      <c r="U40" s="23"/>
    </row>
    <row r="41" customFormat="false" ht="13.2" hidden="false" customHeight="false" outlineLevel="0" collapsed="false">
      <c r="A41" s="30" t="s">
        <v>1111</v>
      </c>
      <c r="B41" s="31" t="s">
        <v>1112</v>
      </c>
      <c r="C41" s="31" t="s">
        <v>1113</v>
      </c>
      <c r="D41" s="31" t="str">
        <f aca="false">"0,5980"</f>
        <v>0,5980</v>
      </c>
      <c r="E41" s="32" t="s">
        <v>426</v>
      </c>
      <c r="F41" s="32" t="s">
        <v>29</v>
      </c>
      <c r="G41" s="31" t="s">
        <v>330</v>
      </c>
      <c r="H41" s="31" t="s">
        <v>386</v>
      </c>
      <c r="I41" s="31" t="s">
        <v>341</v>
      </c>
      <c r="J41" s="33"/>
      <c r="K41" s="31" t="s">
        <v>660</v>
      </c>
      <c r="L41" s="31" t="s">
        <v>329</v>
      </c>
      <c r="M41" s="31" t="s">
        <v>331</v>
      </c>
      <c r="N41" s="33"/>
      <c r="O41" s="31" t="s">
        <v>341</v>
      </c>
      <c r="P41" s="31" t="s">
        <v>402</v>
      </c>
      <c r="Q41" s="31" t="s">
        <v>343</v>
      </c>
      <c r="R41" s="33"/>
      <c r="S41" s="34" t="str">
        <f aca="false">"470,0"</f>
        <v>470,0</v>
      </c>
      <c r="T41" s="34" t="str">
        <f aca="false">"281,0600"</f>
        <v>281,0600</v>
      </c>
      <c r="U41" s="34"/>
    </row>
    <row r="42" customFormat="false" ht="13.2" hidden="false" customHeight="false" outlineLevel="0" collapsed="false">
      <c r="A42" s="30" t="s">
        <v>1114</v>
      </c>
      <c r="B42" s="31" t="s">
        <v>178</v>
      </c>
      <c r="C42" s="31" t="s">
        <v>1115</v>
      </c>
      <c r="D42" s="31" t="str">
        <f aca="false">"0,5964"</f>
        <v>0,5964</v>
      </c>
      <c r="E42" s="32" t="s">
        <v>12</v>
      </c>
      <c r="F42" s="32" t="s">
        <v>1116</v>
      </c>
      <c r="G42" s="31" t="s">
        <v>661</v>
      </c>
      <c r="H42" s="31" t="s">
        <v>739</v>
      </c>
      <c r="I42" s="31" t="s">
        <v>386</v>
      </c>
      <c r="J42" s="33"/>
      <c r="K42" s="31" t="s">
        <v>390</v>
      </c>
      <c r="L42" s="31" t="s">
        <v>328</v>
      </c>
      <c r="M42" s="31" t="s">
        <v>661</v>
      </c>
      <c r="N42" s="33"/>
      <c r="O42" s="33" t="s">
        <v>341</v>
      </c>
      <c r="P42" s="31" t="s">
        <v>409</v>
      </c>
      <c r="Q42" s="31" t="s">
        <v>728</v>
      </c>
      <c r="R42" s="33"/>
      <c r="S42" s="34" t="str">
        <f aca="false">"435,0"</f>
        <v>435,0</v>
      </c>
      <c r="T42" s="34" t="str">
        <f aca="false">"259,4557"</f>
        <v>259,4557</v>
      </c>
      <c r="U42" s="34"/>
    </row>
    <row r="43" customFormat="false" ht="13.2" hidden="false" customHeight="false" outlineLevel="0" collapsed="false">
      <c r="A43" s="24" t="s">
        <v>1117</v>
      </c>
      <c r="B43" s="25" t="s">
        <v>1118</v>
      </c>
      <c r="C43" s="25" t="s">
        <v>1119</v>
      </c>
      <c r="D43" s="25" t="str">
        <f aca="false">"0,5905"</f>
        <v>0,5905</v>
      </c>
      <c r="E43" s="26" t="s">
        <v>426</v>
      </c>
      <c r="F43" s="26" t="s">
        <v>713</v>
      </c>
      <c r="G43" s="25" t="s">
        <v>341</v>
      </c>
      <c r="H43" s="25" t="s">
        <v>349</v>
      </c>
      <c r="I43" s="27" t="s">
        <v>402</v>
      </c>
      <c r="J43" s="27"/>
      <c r="K43" s="25" t="s">
        <v>170</v>
      </c>
      <c r="L43" s="25" t="s">
        <v>390</v>
      </c>
      <c r="M43" s="27" t="s">
        <v>661</v>
      </c>
      <c r="N43" s="27"/>
      <c r="O43" s="25" t="s">
        <v>409</v>
      </c>
      <c r="P43" s="25" t="s">
        <v>728</v>
      </c>
      <c r="Q43" s="25" t="s">
        <v>958</v>
      </c>
      <c r="R43" s="27"/>
      <c r="S43" s="28" t="str">
        <f aca="false">"452,5"</f>
        <v>452,5</v>
      </c>
      <c r="T43" s="28" t="str">
        <f aca="false">"281,8973"</f>
        <v>281,8973</v>
      </c>
      <c r="U43" s="28"/>
    </row>
    <row r="45" customFormat="false" ht="15.6" hidden="false" customHeight="false" outlineLevel="0" collapsed="false">
      <c r="A45" s="18" t="s">
        <v>32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customFormat="false" ht="13.2" hidden="false" customHeight="false" outlineLevel="0" collapsed="false">
      <c r="A46" s="14" t="s">
        <v>1120</v>
      </c>
      <c r="B46" s="15" t="s">
        <v>1121</v>
      </c>
      <c r="C46" s="15" t="s">
        <v>1122</v>
      </c>
      <c r="D46" s="15" t="str">
        <f aca="false">"0,5703"</f>
        <v>0,5703</v>
      </c>
      <c r="E46" s="16" t="s">
        <v>12</v>
      </c>
      <c r="F46" s="16" t="s">
        <v>29</v>
      </c>
      <c r="G46" s="15" t="s">
        <v>354</v>
      </c>
      <c r="H46" s="15" t="s">
        <v>351</v>
      </c>
      <c r="I46" s="15" t="s">
        <v>422</v>
      </c>
      <c r="J46" s="17"/>
      <c r="K46" s="15" t="s">
        <v>331</v>
      </c>
      <c r="L46" s="15" t="s">
        <v>408</v>
      </c>
      <c r="M46" s="17" t="s">
        <v>341</v>
      </c>
      <c r="N46" s="17"/>
      <c r="O46" s="15" t="s">
        <v>501</v>
      </c>
      <c r="P46" s="17" t="s">
        <v>514</v>
      </c>
      <c r="Q46" s="17" t="s">
        <v>514</v>
      </c>
      <c r="R46" s="17"/>
      <c r="S46" s="29" t="str">
        <f aca="false">"570,0"</f>
        <v>570,0</v>
      </c>
      <c r="T46" s="29" t="str">
        <f aca="false">"328,3217"</f>
        <v>328,3217</v>
      </c>
      <c r="U46" s="29"/>
    </row>
    <row r="48" customFormat="false" ht="15" hidden="false" customHeight="false" outlineLevel="0" collapsed="false">
      <c r="E48" s="35" t="s">
        <v>56</v>
      </c>
    </row>
    <row r="49" customFormat="false" ht="15" hidden="false" customHeight="false" outlineLevel="0" collapsed="false">
      <c r="E49" s="35" t="s">
        <v>57</v>
      </c>
    </row>
    <row r="50" customFormat="false" ht="15" hidden="false" customHeight="false" outlineLevel="0" collapsed="false">
      <c r="E50" s="35" t="s">
        <v>58</v>
      </c>
    </row>
    <row r="51" customFormat="false" ht="13.2" hidden="false" customHeight="false" outlineLevel="0" collapsed="false">
      <c r="E51" s="3" t="s">
        <v>59</v>
      </c>
    </row>
    <row r="52" customFormat="false" ht="13.2" hidden="false" customHeight="false" outlineLevel="0" collapsed="false">
      <c r="E52" s="3" t="s">
        <v>60</v>
      </c>
    </row>
    <row r="53" customFormat="false" ht="13.2" hidden="false" customHeight="false" outlineLevel="0" collapsed="false">
      <c r="E53" s="3" t="s">
        <v>61</v>
      </c>
    </row>
    <row r="56" customFormat="false" ht="17.4" hidden="false" customHeight="false" outlineLevel="0" collapsed="false">
      <c r="A56" s="36" t="s">
        <v>62</v>
      </c>
      <c r="B56" s="37"/>
    </row>
    <row r="57" customFormat="false" ht="15.6" hidden="false" customHeight="false" outlineLevel="0" collapsed="false">
      <c r="A57" s="38" t="s">
        <v>182</v>
      </c>
      <c r="B57" s="18"/>
    </row>
    <row r="58" customFormat="false" ht="14.4" hidden="false" customHeight="false" outlineLevel="0" collapsed="false">
      <c r="A58" s="39"/>
      <c r="B58" s="40" t="s">
        <v>114</v>
      </c>
    </row>
    <row r="59" customFormat="false" ht="13.8" hidden="false" customHeight="false" outlineLevel="0" collapsed="false">
      <c r="A59" s="41" t="s">
        <v>1</v>
      </c>
      <c r="B59" s="41" t="s">
        <v>65</v>
      </c>
      <c r="C59" s="41" t="s">
        <v>66</v>
      </c>
      <c r="D59" s="41" t="s">
        <v>962</v>
      </c>
      <c r="E59" s="41" t="s">
        <v>4</v>
      </c>
    </row>
    <row r="60" customFormat="false" ht="13.2" hidden="false" customHeight="false" outlineLevel="0" collapsed="false">
      <c r="A60" s="42" t="s">
        <v>838</v>
      </c>
      <c r="B60" s="2" t="s">
        <v>530</v>
      </c>
      <c r="C60" s="2" t="s">
        <v>250</v>
      </c>
      <c r="D60" s="2" t="s">
        <v>514</v>
      </c>
      <c r="E60" s="1" t="s">
        <v>1123</v>
      </c>
    </row>
    <row r="62" customFormat="false" ht="14.4" hidden="false" customHeight="false" outlineLevel="0" collapsed="false">
      <c r="A62" s="39"/>
      <c r="B62" s="40" t="s">
        <v>64</v>
      </c>
    </row>
    <row r="63" customFormat="false" ht="13.8" hidden="false" customHeight="false" outlineLevel="0" collapsed="false">
      <c r="A63" s="41" t="s">
        <v>1</v>
      </c>
      <c r="B63" s="41" t="s">
        <v>65</v>
      </c>
      <c r="C63" s="41" t="s">
        <v>66</v>
      </c>
      <c r="D63" s="41" t="s">
        <v>962</v>
      </c>
      <c r="E63" s="41" t="s">
        <v>4</v>
      </c>
    </row>
    <row r="64" customFormat="false" ht="13.2" hidden="false" customHeight="false" outlineLevel="0" collapsed="false">
      <c r="A64" s="42" t="s">
        <v>445</v>
      </c>
      <c r="B64" s="2" t="s">
        <v>64</v>
      </c>
      <c r="C64" s="2" t="s">
        <v>446</v>
      </c>
      <c r="D64" s="2" t="s">
        <v>524</v>
      </c>
      <c r="E64" s="1" t="s">
        <v>1124</v>
      </c>
    </row>
    <row r="65" customFormat="false" ht="13.2" hidden="false" customHeight="false" outlineLevel="0" collapsed="false">
      <c r="A65" s="42" t="s">
        <v>1125</v>
      </c>
      <c r="B65" s="2" t="s">
        <v>64</v>
      </c>
      <c r="C65" s="2" t="s">
        <v>184</v>
      </c>
      <c r="D65" s="2" t="s">
        <v>30</v>
      </c>
      <c r="E65" s="1" t="s">
        <v>1126</v>
      </c>
    </row>
    <row r="66" customFormat="false" ht="13.2" hidden="false" customHeight="false" outlineLevel="0" collapsed="false">
      <c r="A66" s="42" t="s">
        <v>1127</v>
      </c>
      <c r="B66" s="2" t="s">
        <v>64</v>
      </c>
      <c r="C66" s="2" t="s">
        <v>247</v>
      </c>
      <c r="D66" s="2" t="s">
        <v>42</v>
      </c>
      <c r="E66" s="1" t="s">
        <v>1128</v>
      </c>
    </row>
    <row r="67" customFormat="false" ht="13.2" hidden="false" customHeight="false" outlineLevel="0" collapsed="false">
      <c r="A67" s="42" t="s">
        <v>1129</v>
      </c>
      <c r="B67" s="2" t="s">
        <v>64</v>
      </c>
      <c r="C67" s="2" t="s">
        <v>247</v>
      </c>
      <c r="D67" s="2" t="s">
        <v>37</v>
      </c>
      <c r="E67" s="1" t="s">
        <v>1130</v>
      </c>
    </row>
    <row r="68" customFormat="false" ht="13.2" hidden="false" customHeight="false" outlineLevel="0" collapsed="false">
      <c r="A68" s="42" t="s">
        <v>1131</v>
      </c>
      <c r="B68" s="2" t="s">
        <v>64</v>
      </c>
      <c r="C68" s="2" t="s">
        <v>124</v>
      </c>
      <c r="D68" s="2" t="s">
        <v>15</v>
      </c>
      <c r="E68" s="1" t="s">
        <v>1132</v>
      </c>
    </row>
    <row r="69" customFormat="false" ht="13.2" hidden="false" customHeight="false" outlineLevel="0" collapsed="false">
      <c r="A69" s="42" t="s">
        <v>1133</v>
      </c>
      <c r="B69" s="2" t="s">
        <v>64</v>
      </c>
      <c r="C69" s="2" t="s">
        <v>124</v>
      </c>
      <c r="D69" s="2" t="s">
        <v>503</v>
      </c>
      <c r="E69" s="1" t="s">
        <v>1134</v>
      </c>
    </row>
    <row r="70" customFormat="false" ht="13.2" hidden="false" customHeight="false" outlineLevel="0" collapsed="false">
      <c r="A70" s="42" t="s">
        <v>858</v>
      </c>
      <c r="B70" s="2" t="s">
        <v>64</v>
      </c>
      <c r="C70" s="2" t="s">
        <v>124</v>
      </c>
      <c r="D70" s="2" t="s">
        <v>514</v>
      </c>
      <c r="E70" s="1" t="s">
        <v>1135</v>
      </c>
    </row>
    <row r="73" customFormat="false" ht="15.6" hidden="false" customHeight="false" outlineLevel="0" collapsed="false">
      <c r="A73" s="38" t="s">
        <v>63</v>
      </c>
      <c r="B73" s="18"/>
    </row>
    <row r="74" customFormat="false" ht="14.4" hidden="false" customHeight="false" outlineLevel="0" collapsed="false">
      <c r="A74" s="39"/>
      <c r="B74" s="40" t="s">
        <v>309</v>
      </c>
    </row>
    <row r="75" customFormat="false" ht="13.8" hidden="false" customHeight="false" outlineLevel="0" collapsed="false">
      <c r="A75" s="41" t="s">
        <v>1</v>
      </c>
      <c r="B75" s="41" t="s">
        <v>65</v>
      </c>
      <c r="C75" s="41" t="s">
        <v>66</v>
      </c>
      <c r="D75" s="41" t="s">
        <v>962</v>
      </c>
      <c r="E75" s="41" t="s">
        <v>4</v>
      </c>
    </row>
    <row r="76" customFormat="false" ht="13.2" hidden="false" customHeight="false" outlineLevel="0" collapsed="false">
      <c r="A76" s="42" t="s">
        <v>1136</v>
      </c>
      <c r="B76" s="2" t="s">
        <v>311</v>
      </c>
      <c r="C76" s="2" t="s">
        <v>247</v>
      </c>
      <c r="D76" s="2" t="s">
        <v>1137</v>
      </c>
      <c r="E76" s="1" t="s">
        <v>1138</v>
      </c>
    </row>
    <row r="77" customFormat="false" ht="13.2" hidden="false" customHeight="false" outlineLevel="0" collapsed="false">
      <c r="A77" s="42" t="s">
        <v>1139</v>
      </c>
      <c r="B77" s="2" t="s">
        <v>311</v>
      </c>
      <c r="C77" s="2" t="s">
        <v>124</v>
      </c>
      <c r="D77" s="2" t="s">
        <v>1140</v>
      </c>
      <c r="E77" s="1" t="s">
        <v>1141</v>
      </c>
    </row>
    <row r="79" customFormat="false" ht="14.4" hidden="false" customHeight="false" outlineLevel="0" collapsed="false">
      <c r="A79" s="39"/>
      <c r="B79" s="40" t="s">
        <v>64</v>
      </c>
    </row>
    <row r="80" customFormat="false" ht="13.8" hidden="false" customHeight="false" outlineLevel="0" collapsed="false">
      <c r="A80" s="41" t="s">
        <v>1</v>
      </c>
      <c r="B80" s="41" t="s">
        <v>65</v>
      </c>
      <c r="C80" s="41" t="s">
        <v>66</v>
      </c>
      <c r="D80" s="41" t="s">
        <v>962</v>
      </c>
      <c r="E80" s="41" t="s">
        <v>4</v>
      </c>
    </row>
    <row r="81" customFormat="false" ht="13.2" hidden="false" customHeight="false" outlineLevel="0" collapsed="false">
      <c r="A81" s="42" t="s">
        <v>1142</v>
      </c>
      <c r="B81" s="2" t="s">
        <v>64</v>
      </c>
      <c r="C81" s="2" t="s">
        <v>77</v>
      </c>
      <c r="D81" s="2" t="s">
        <v>1143</v>
      </c>
      <c r="E81" s="1" t="s">
        <v>1144</v>
      </c>
    </row>
    <row r="82" customFormat="false" ht="13.2" hidden="false" customHeight="false" outlineLevel="0" collapsed="false">
      <c r="A82" s="42" t="s">
        <v>460</v>
      </c>
      <c r="B82" s="2" t="s">
        <v>64</v>
      </c>
      <c r="C82" s="2" t="s">
        <v>120</v>
      </c>
      <c r="D82" s="2" t="s">
        <v>1145</v>
      </c>
      <c r="E82" s="1" t="s">
        <v>1146</v>
      </c>
    </row>
    <row r="83" customFormat="false" ht="13.2" hidden="false" customHeight="false" outlineLevel="0" collapsed="false">
      <c r="A83" s="42" t="s">
        <v>1147</v>
      </c>
      <c r="B83" s="2" t="s">
        <v>64</v>
      </c>
      <c r="C83" s="2" t="s">
        <v>69</v>
      </c>
      <c r="D83" s="2" t="s">
        <v>1148</v>
      </c>
      <c r="E83" s="1" t="s">
        <v>1149</v>
      </c>
    </row>
    <row r="84" customFormat="false" ht="13.2" hidden="false" customHeight="false" outlineLevel="0" collapsed="false">
      <c r="A84" s="42" t="s">
        <v>1150</v>
      </c>
      <c r="B84" s="2" t="s">
        <v>64</v>
      </c>
      <c r="C84" s="2" t="s">
        <v>69</v>
      </c>
      <c r="D84" s="2" t="s">
        <v>1151</v>
      </c>
      <c r="E84" s="1" t="s">
        <v>1152</v>
      </c>
    </row>
    <row r="85" customFormat="false" ht="13.2" hidden="false" customHeight="false" outlineLevel="0" collapsed="false">
      <c r="A85" s="42" t="s">
        <v>1153</v>
      </c>
      <c r="B85" s="2" t="s">
        <v>64</v>
      </c>
      <c r="C85" s="2" t="s">
        <v>120</v>
      </c>
      <c r="D85" s="2" t="s">
        <v>1154</v>
      </c>
      <c r="E85" s="1" t="s">
        <v>1155</v>
      </c>
    </row>
    <row r="86" customFormat="false" ht="13.2" hidden="false" customHeight="false" outlineLevel="0" collapsed="false">
      <c r="A86" s="42" t="s">
        <v>1156</v>
      </c>
      <c r="B86" s="2" t="s">
        <v>64</v>
      </c>
      <c r="C86" s="2" t="s">
        <v>120</v>
      </c>
      <c r="D86" s="2" t="s">
        <v>1154</v>
      </c>
      <c r="E86" s="1" t="s">
        <v>1157</v>
      </c>
    </row>
    <row r="87" customFormat="false" ht="13.2" hidden="false" customHeight="false" outlineLevel="0" collapsed="false">
      <c r="A87" s="42" t="s">
        <v>1158</v>
      </c>
      <c r="B87" s="2" t="s">
        <v>64</v>
      </c>
      <c r="C87" s="2" t="s">
        <v>120</v>
      </c>
      <c r="D87" s="2" t="s">
        <v>1159</v>
      </c>
      <c r="E87" s="1" t="s">
        <v>1160</v>
      </c>
    </row>
    <row r="88" customFormat="false" ht="13.2" hidden="false" customHeight="false" outlineLevel="0" collapsed="false">
      <c r="A88" s="42" t="s">
        <v>1161</v>
      </c>
      <c r="B88" s="2" t="s">
        <v>64</v>
      </c>
      <c r="C88" s="2" t="s">
        <v>77</v>
      </c>
      <c r="D88" s="2" t="s">
        <v>1154</v>
      </c>
      <c r="E88" s="1" t="s">
        <v>1162</v>
      </c>
    </row>
    <row r="89" customFormat="false" ht="13.2" hidden="false" customHeight="false" outlineLevel="0" collapsed="false">
      <c r="A89" s="42" t="s">
        <v>1163</v>
      </c>
      <c r="B89" s="2" t="s">
        <v>64</v>
      </c>
      <c r="C89" s="2" t="s">
        <v>77</v>
      </c>
      <c r="D89" s="2" t="s">
        <v>1164</v>
      </c>
      <c r="E89" s="1" t="s">
        <v>1165</v>
      </c>
    </row>
    <row r="91" customFormat="false" ht="14.4" hidden="false" customHeight="false" outlineLevel="0" collapsed="false">
      <c r="A91" s="39"/>
      <c r="B91" s="40" t="s">
        <v>130</v>
      </c>
    </row>
    <row r="92" customFormat="false" ht="13.8" hidden="false" customHeight="false" outlineLevel="0" collapsed="false">
      <c r="A92" s="41" t="s">
        <v>1</v>
      </c>
      <c r="B92" s="41" t="s">
        <v>65</v>
      </c>
      <c r="C92" s="41" t="s">
        <v>66</v>
      </c>
      <c r="D92" s="41" t="s">
        <v>962</v>
      </c>
      <c r="E92" s="41" t="s">
        <v>4</v>
      </c>
    </row>
    <row r="93" customFormat="false" ht="13.2" hidden="false" customHeight="false" outlineLevel="0" collapsed="false">
      <c r="A93" s="42" t="s">
        <v>1166</v>
      </c>
      <c r="B93" s="2" t="s">
        <v>259</v>
      </c>
      <c r="C93" s="2" t="s">
        <v>195</v>
      </c>
      <c r="D93" s="2" t="s">
        <v>1167</v>
      </c>
      <c r="E93" s="1" t="s">
        <v>1168</v>
      </c>
    </row>
    <row r="94" customFormat="false" ht="13.2" hidden="false" customHeight="false" outlineLevel="0" collapsed="false">
      <c r="A94" s="42" t="s">
        <v>1169</v>
      </c>
      <c r="B94" s="2" t="s">
        <v>551</v>
      </c>
      <c r="C94" s="2" t="s">
        <v>77</v>
      </c>
      <c r="D94" s="2" t="s">
        <v>1170</v>
      </c>
      <c r="E94" s="1" t="s">
        <v>1171</v>
      </c>
    </row>
  </sheetData>
  <mergeCells count="19">
    <mergeCell ref="A1:R2"/>
    <mergeCell ref="A3:A4"/>
    <mergeCell ref="B3:B4"/>
    <mergeCell ref="C3:C4"/>
    <mergeCell ref="D3:D4"/>
    <mergeCell ref="E3:E4"/>
    <mergeCell ref="F3:F4"/>
    <mergeCell ref="G3:R3"/>
    <mergeCell ref="A5:R5"/>
    <mergeCell ref="A8:R8"/>
    <mergeCell ref="A11:R11"/>
    <mergeCell ref="A14:R14"/>
    <mergeCell ref="A18:R18"/>
    <mergeCell ref="A23:R23"/>
    <mergeCell ref="A26:R26"/>
    <mergeCell ref="A29:R29"/>
    <mergeCell ref="A35:R35"/>
    <mergeCell ref="A39:R39"/>
    <mergeCell ref="A45:R4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5.88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1" min="11" style="4" width="8"/>
    <col collapsed="false" customWidth="true" hidden="false" outlineLevel="0" max="12" min="12" style="4" width="10.99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1172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/>
      <c r="H3" s="10"/>
      <c r="I3" s="10"/>
      <c r="J3" s="10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5</v>
      </c>
      <c r="H4" s="12" t="n">
        <v>6</v>
      </c>
      <c r="I4" s="12" t="n">
        <v>7</v>
      </c>
      <c r="J4" s="12" t="n">
        <v>8</v>
      </c>
    </row>
    <row r="5" s="2" customFormat="true" ht="15.6" hidden="false" customHeight="false" outlineLevel="0" collapsed="false">
      <c r="A5" s="13" t="s">
        <v>525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9" t="s">
        <v>526</v>
      </c>
      <c r="B6" s="20" t="s">
        <v>527</v>
      </c>
      <c r="C6" s="20" t="s">
        <v>528</v>
      </c>
      <c r="D6" s="20" t="str">
        <f aca="false">"0,5444"</f>
        <v>0,5444</v>
      </c>
      <c r="E6" s="21" t="s">
        <v>12</v>
      </c>
      <c r="F6" s="21" t="s">
        <v>29</v>
      </c>
      <c r="G6" s="20" t="s">
        <v>349</v>
      </c>
      <c r="H6" s="20" t="s">
        <v>402</v>
      </c>
      <c r="I6" s="20" t="s">
        <v>343</v>
      </c>
      <c r="J6" s="22"/>
      <c r="K6" s="20" t="s">
        <v>1173</v>
      </c>
      <c r="L6" s="20" t="s">
        <v>1174</v>
      </c>
      <c r="M6" s="20"/>
    </row>
    <row r="7" s="2" customFormat="true" ht="13.2" hidden="false" customHeight="false" outlineLevel="0" collapsed="false">
      <c r="A7" s="24" t="s">
        <v>1175</v>
      </c>
      <c r="B7" s="25" t="s">
        <v>1176</v>
      </c>
      <c r="C7" s="25" t="s">
        <v>1177</v>
      </c>
      <c r="D7" s="25" t="str">
        <f aca="false">"0,5399"</f>
        <v>0,5399</v>
      </c>
      <c r="E7" s="26" t="s">
        <v>12</v>
      </c>
      <c r="F7" s="26" t="s">
        <v>1178</v>
      </c>
      <c r="G7" s="25" t="s">
        <v>1019</v>
      </c>
      <c r="H7" s="27" t="s">
        <v>30</v>
      </c>
      <c r="I7" s="27" t="s">
        <v>30</v>
      </c>
      <c r="J7" s="27"/>
      <c r="K7" s="25" t="s">
        <v>1179</v>
      </c>
      <c r="L7" s="25" t="s">
        <v>1180</v>
      </c>
      <c r="M7" s="25"/>
    </row>
    <row r="9" customFormat="false" ht="15" hidden="false" customHeight="false" outlineLevel="0" collapsed="false">
      <c r="E9" s="35" t="s">
        <v>56</v>
      </c>
    </row>
    <row r="10" customFormat="false" ht="15" hidden="false" customHeight="false" outlineLevel="0" collapsed="false">
      <c r="E10" s="35" t="s">
        <v>57</v>
      </c>
    </row>
    <row r="11" customFormat="false" ht="15" hidden="false" customHeight="false" outlineLevel="0" collapsed="false">
      <c r="E11" s="35" t="s">
        <v>58</v>
      </c>
    </row>
    <row r="12" customFormat="false" ht="13.2" hidden="false" customHeight="false" outlineLevel="0" collapsed="false">
      <c r="E12" s="3" t="s">
        <v>59</v>
      </c>
    </row>
    <row r="13" customFormat="false" ht="13.2" hidden="false" customHeight="false" outlineLevel="0" collapsed="false">
      <c r="E13" s="3" t="s">
        <v>60</v>
      </c>
    </row>
    <row r="14" customFormat="false" ht="13.2" hidden="false" customHeight="false" outlineLevel="0" collapsed="false">
      <c r="E14" s="3" t="s">
        <v>61</v>
      </c>
    </row>
    <row r="17" customFormat="false" ht="17.4" hidden="false" customHeight="false" outlineLevel="0" collapsed="false">
      <c r="A17" s="36" t="s">
        <v>62</v>
      </c>
      <c r="B17" s="37"/>
    </row>
    <row r="18" customFormat="false" ht="15.6" hidden="false" customHeight="false" outlineLevel="0" collapsed="false">
      <c r="A18" s="38" t="s">
        <v>63</v>
      </c>
      <c r="B18" s="18"/>
    </row>
    <row r="19" customFormat="false" ht="14.4" hidden="false" customHeight="false" outlineLevel="0" collapsed="false">
      <c r="A19" s="39"/>
      <c r="B19" s="40" t="s">
        <v>64</v>
      </c>
    </row>
    <row r="20" customFormat="false" ht="13.8" hidden="false" customHeight="false" outlineLevel="0" collapsed="false">
      <c r="A20" s="41" t="s">
        <v>1</v>
      </c>
      <c r="B20" s="41" t="s">
        <v>65</v>
      </c>
      <c r="C20" s="41" t="s">
        <v>66</v>
      </c>
      <c r="D20" s="41" t="s">
        <v>67</v>
      </c>
      <c r="E20" s="41" t="s">
        <v>4</v>
      </c>
    </row>
    <row r="21" customFormat="false" ht="13.2" hidden="false" customHeight="false" outlineLevel="0" collapsed="false">
      <c r="A21" s="42" t="s">
        <v>539</v>
      </c>
      <c r="B21" s="2" t="s">
        <v>64</v>
      </c>
      <c r="C21" s="2" t="s">
        <v>540</v>
      </c>
      <c r="D21" s="2" t="s">
        <v>343</v>
      </c>
      <c r="E21" s="1" t="s">
        <v>1181</v>
      </c>
    </row>
    <row r="23" customFormat="false" ht="14.4" hidden="false" customHeight="false" outlineLevel="0" collapsed="false">
      <c r="A23" s="39"/>
      <c r="B23" s="40" t="s">
        <v>130</v>
      </c>
    </row>
    <row r="24" customFormat="false" ht="13.8" hidden="false" customHeight="false" outlineLevel="0" collapsed="false">
      <c r="A24" s="41" t="s">
        <v>1</v>
      </c>
      <c r="B24" s="41" t="s">
        <v>65</v>
      </c>
      <c r="C24" s="41" t="s">
        <v>66</v>
      </c>
      <c r="D24" s="41" t="s">
        <v>67</v>
      </c>
      <c r="E24" s="41" t="s">
        <v>4</v>
      </c>
    </row>
    <row r="25" customFormat="false" ht="13.2" hidden="false" customHeight="false" outlineLevel="0" collapsed="false">
      <c r="A25" s="42" t="s">
        <v>1182</v>
      </c>
      <c r="B25" s="2" t="s">
        <v>549</v>
      </c>
      <c r="C25" s="2" t="s">
        <v>540</v>
      </c>
      <c r="D25" s="2" t="s">
        <v>1019</v>
      </c>
      <c r="E25" s="1" t="s">
        <v>1183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7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9.65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true" hidden="false" outlineLevel="0" max="13" min="13" style="4" width="14.78"/>
    <col collapsed="false" customWidth="false" hidden="false" outlineLevel="0" max="1024" min="14" style="4" width="9.13"/>
  </cols>
  <sheetData>
    <row r="1" customFormat="false" ht="28.95" hidden="false" customHeight="true" outlineLevel="0" collapsed="false">
      <c r="A1" s="5" t="s">
        <v>1184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/>
      <c r="H3" s="10"/>
      <c r="I3" s="10"/>
      <c r="J3" s="10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5</v>
      </c>
      <c r="H4" s="12" t="n">
        <v>6</v>
      </c>
      <c r="I4" s="12" t="n">
        <v>7</v>
      </c>
      <c r="J4" s="12" t="n">
        <v>8</v>
      </c>
    </row>
    <row r="5" s="2" customFormat="true" ht="15.6" hidden="false" customHeight="false" outlineLevel="0" collapsed="false">
      <c r="A5" s="13" t="s">
        <v>136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137</v>
      </c>
      <c r="B6" s="15" t="s">
        <v>1185</v>
      </c>
      <c r="C6" s="15" t="s">
        <v>139</v>
      </c>
      <c r="D6" s="15" t="str">
        <f aca="false">"1,1715"</f>
        <v>1,1715</v>
      </c>
      <c r="E6" s="16" t="s">
        <v>140</v>
      </c>
      <c r="F6" s="16" t="s">
        <v>29</v>
      </c>
      <c r="G6" s="15" t="s">
        <v>155</v>
      </c>
      <c r="H6" s="15" t="s">
        <v>240</v>
      </c>
      <c r="I6" s="17" t="s">
        <v>88</v>
      </c>
      <c r="J6" s="17"/>
      <c r="K6" s="15" t="s">
        <v>1186</v>
      </c>
      <c r="L6" s="15" t="s">
        <v>1187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145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4" t="s">
        <v>1188</v>
      </c>
      <c r="B9" s="15" t="s">
        <v>1189</v>
      </c>
      <c r="C9" s="15" t="s">
        <v>1190</v>
      </c>
      <c r="D9" s="15" t="str">
        <f aca="false">"1,0716"</f>
        <v>1,0716</v>
      </c>
      <c r="E9" s="16" t="s">
        <v>12</v>
      </c>
      <c r="F9" s="16" t="s">
        <v>245</v>
      </c>
      <c r="G9" s="15" t="s">
        <v>230</v>
      </c>
      <c r="H9" s="17" t="s">
        <v>236</v>
      </c>
      <c r="I9" s="15" t="s">
        <v>236</v>
      </c>
      <c r="J9" s="17"/>
      <c r="K9" s="29" t="str">
        <f aca="false">"65,0"</f>
        <v>65,0</v>
      </c>
      <c r="L9" s="29" t="str">
        <f aca="false">"74,3905"</f>
        <v>74,3905</v>
      </c>
      <c r="M9" s="29"/>
    </row>
    <row r="11" customFormat="false" ht="15.6" hidden="false" customHeight="false" outlineLevel="0" collapsed="false">
      <c r="A11" s="18" t="s">
        <v>220</v>
      </c>
      <c r="B11" s="18"/>
      <c r="C11" s="18"/>
      <c r="D11" s="18"/>
      <c r="E11" s="18"/>
      <c r="F11" s="18"/>
      <c r="G11" s="18"/>
      <c r="H11" s="18"/>
      <c r="I11" s="18"/>
      <c r="J11" s="18"/>
    </row>
    <row r="12" customFormat="false" ht="13.2" hidden="false" customHeight="false" outlineLevel="0" collapsed="false">
      <c r="A12" s="14" t="s">
        <v>1191</v>
      </c>
      <c r="B12" s="15" t="s">
        <v>1192</v>
      </c>
      <c r="C12" s="15" t="s">
        <v>1193</v>
      </c>
      <c r="D12" s="15" t="str">
        <f aca="false">"0,9266"</f>
        <v>0,9266</v>
      </c>
      <c r="E12" s="16" t="s">
        <v>12</v>
      </c>
      <c r="F12" s="16" t="s">
        <v>1178</v>
      </c>
      <c r="G12" s="15" t="s">
        <v>181</v>
      </c>
      <c r="H12" s="15" t="s">
        <v>1194</v>
      </c>
      <c r="I12" s="15" t="s">
        <v>272</v>
      </c>
      <c r="J12" s="17"/>
      <c r="K12" s="29" t="str">
        <f aca="false">"45,0"</f>
        <v>45,0</v>
      </c>
      <c r="L12" s="29" t="str">
        <f aca="false">"79,9792"</f>
        <v>79,9792</v>
      </c>
      <c r="M12" s="29" t="s">
        <v>1195</v>
      </c>
    </row>
    <row r="14" customFormat="false" ht="15.6" hidden="false" customHeight="false" outlineLevel="0" collapsed="false">
      <c r="A14" s="18" t="s">
        <v>83</v>
      </c>
      <c r="B14" s="18"/>
      <c r="C14" s="18"/>
      <c r="D14" s="18"/>
      <c r="E14" s="18"/>
      <c r="F14" s="18"/>
      <c r="G14" s="18"/>
      <c r="H14" s="18"/>
      <c r="I14" s="18"/>
      <c r="J14" s="18"/>
    </row>
    <row r="15" customFormat="false" ht="13.2" hidden="false" customHeight="false" outlineLevel="0" collapsed="false">
      <c r="A15" s="14" t="s">
        <v>151</v>
      </c>
      <c r="B15" s="15" t="s">
        <v>1196</v>
      </c>
      <c r="C15" s="15" t="s">
        <v>153</v>
      </c>
      <c r="D15" s="15" t="str">
        <f aca="false">"0,8765"</f>
        <v>0,8765</v>
      </c>
      <c r="E15" s="16" t="s">
        <v>12</v>
      </c>
      <c r="F15" s="16" t="s">
        <v>154</v>
      </c>
      <c r="G15" s="15" t="s">
        <v>647</v>
      </c>
      <c r="H15" s="17" t="s">
        <v>170</v>
      </c>
      <c r="I15" s="15" t="s">
        <v>170</v>
      </c>
      <c r="J15" s="17"/>
      <c r="K15" s="29" t="str">
        <f aca="false">"100,0"</f>
        <v>100,0</v>
      </c>
      <c r="L15" s="29" t="str">
        <f aca="false">"88,5215"</f>
        <v>88,5215</v>
      </c>
      <c r="M15" s="29"/>
    </row>
    <row r="17" customFormat="false" ht="15.6" hidden="false" customHeight="false" outlineLevel="0" collapsed="false">
      <c r="A17" s="18" t="s">
        <v>98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3.2" hidden="false" customHeight="false" outlineLevel="0" collapsed="false">
      <c r="A18" s="19" t="s">
        <v>1197</v>
      </c>
      <c r="B18" s="20" t="s">
        <v>1198</v>
      </c>
      <c r="C18" s="20" t="s">
        <v>290</v>
      </c>
      <c r="D18" s="20" t="str">
        <f aca="false">"0,6482"</f>
        <v>0,6482</v>
      </c>
      <c r="E18" s="21" t="s">
        <v>12</v>
      </c>
      <c r="F18" s="21" t="s">
        <v>1199</v>
      </c>
      <c r="G18" s="20" t="s">
        <v>351</v>
      </c>
      <c r="H18" s="22" t="s">
        <v>805</v>
      </c>
      <c r="I18" s="22" t="s">
        <v>805</v>
      </c>
      <c r="J18" s="22"/>
      <c r="K18" s="23" t="str">
        <f aca="false">"195,0"</f>
        <v>195,0</v>
      </c>
      <c r="L18" s="23" t="str">
        <f aca="false">"126,3990"</f>
        <v>126,3990</v>
      </c>
      <c r="M18" s="23"/>
    </row>
    <row r="19" customFormat="false" ht="13.2" hidden="false" customHeight="false" outlineLevel="0" collapsed="false">
      <c r="A19" s="30" t="s">
        <v>1200</v>
      </c>
      <c r="B19" s="31" t="s">
        <v>1201</v>
      </c>
      <c r="C19" s="31" t="s">
        <v>1202</v>
      </c>
      <c r="D19" s="31" t="str">
        <f aca="false">"0,6550"</f>
        <v>0,6550</v>
      </c>
      <c r="E19" s="32" t="s">
        <v>12</v>
      </c>
      <c r="F19" s="32" t="s">
        <v>29</v>
      </c>
      <c r="G19" s="31" t="s">
        <v>402</v>
      </c>
      <c r="H19" s="33" t="s">
        <v>728</v>
      </c>
      <c r="I19" s="31" t="s">
        <v>413</v>
      </c>
      <c r="J19" s="33"/>
      <c r="K19" s="34" t="str">
        <f aca="false">"177,5"</f>
        <v>177,5</v>
      </c>
      <c r="L19" s="34" t="str">
        <f aca="false">"116,2714"</f>
        <v>116,2714</v>
      </c>
      <c r="M19" s="34"/>
    </row>
    <row r="20" customFormat="false" ht="13.2" hidden="false" customHeight="false" outlineLevel="0" collapsed="false">
      <c r="A20" s="24" t="s">
        <v>1203</v>
      </c>
      <c r="B20" s="25" t="s">
        <v>497</v>
      </c>
      <c r="C20" s="25" t="s">
        <v>498</v>
      </c>
      <c r="D20" s="25" t="str">
        <f aca="false">"0,6540"</f>
        <v>0,6540</v>
      </c>
      <c r="E20" s="26" t="s">
        <v>12</v>
      </c>
      <c r="F20" s="26" t="s">
        <v>29</v>
      </c>
      <c r="G20" s="25" t="s">
        <v>660</v>
      </c>
      <c r="H20" s="27" t="s">
        <v>329</v>
      </c>
      <c r="I20" s="27" t="s">
        <v>329</v>
      </c>
      <c r="J20" s="27"/>
      <c r="K20" s="28" t="str">
        <f aca="false">"115,0"</f>
        <v>115,0</v>
      </c>
      <c r="L20" s="28" t="str">
        <f aca="false">"75,2100"</f>
        <v>75,2100</v>
      </c>
      <c r="M20" s="28"/>
    </row>
    <row r="22" customFormat="false" ht="15.6" hidden="false" customHeight="false" outlineLevel="0" collapsed="false">
      <c r="A22" s="18" t="s">
        <v>8</v>
      </c>
      <c r="B22" s="18"/>
      <c r="C22" s="18"/>
      <c r="D22" s="18"/>
      <c r="E22" s="18"/>
      <c r="F22" s="18"/>
      <c r="G22" s="18"/>
      <c r="H22" s="18"/>
      <c r="I22" s="18"/>
      <c r="J22" s="18"/>
    </row>
    <row r="23" customFormat="false" ht="13.2" hidden="false" customHeight="false" outlineLevel="0" collapsed="false">
      <c r="A23" s="14" t="s">
        <v>162</v>
      </c>
      <c r="B23" s="15" t="s">
        <v>500</v>
      </c>
      <c r="C23" s="15" t="s">
        <v>164</v>
      </c>
      <c r="D23" s="15" t="str">
        <f aca="false">"0,6230"</f>
        <v>0,6230</v>
      </c>
      <c r="E23" s="16" t="s">
        <v>12</v>
      </c>
      <c r="F23" s="16" t="s">
        <v>165</v>
      </c>
      <c r="G23" s="15" t="s">
        <v>341</v>
      </c>
      <c r="H23" s="15" t="s">
        <v>342</v>
      </c>
      <c r="I23" s="15" t="s">
        <v>402</v>
      </c>
      <c r="J23" s="17"/>
      <c r="K23" s="29" t="str">
        <f aca="false">"170,0"</f>
        <v>170,0</v>
      </c>
      <c r="L23" s="29" t="str">
        <f aca="false">"117,8778"</f>
        <v>117,8778</v>
      </c>
      <c r="M23" s="29"/>
    </row>
    <row r="25" customFormat="false" ht="15.6" hidden="false" customHeight="false" outlineLevel="0" collapsed="false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</row>
    <row r="26" customFormat="false" ht="13.2" hidden="false" customHeight="false" outlineLevel="0" collapsed="false">
      <c r="A26" s="19" t="s">
        <v>1204</v>
      </c>
      <c r="B26" s="20" t="s">
        <v>1205</v>
      </c>
      <c r="C26" s="20" t="s">
        <v>1206</v>
      </c>
      <c r="D26" s="20" t="str">
        <f aca="false">"0,5821"</f>
        <v>0,5821</v>
      </c>
      <c r="E26" s="21" t="s">
        <v>12</v>
      </c>
      <c r="F26" s="21" t="s">
        <v>29</v>
      </c>
      <c r="G26" s="20" t="s">
        <v>559</v>
      </c>
      <c r="H26" s="20" t="s">
        <v>501</v>
      </c>
      <c r="I26" s="20" t="s">
        <v>499</v>
      </c>
      <c r="J26" s="22"/>
      <c r="K26" s="23" t="str">
        <f aca="false">"222,5"</f>
        <v>222,5</v>
      </c>
      <c r="L26" s="23" t="str">
        <f aca="false">"129,5061"</f>
        <v>129,5061</v>
      </c>
      <c r="M26" s="23"/>
    </row>
    <row r="27" customFormat="false" ht="13.2" hidden="false" customHeight="false" outlineLevel="0" collapsed="false">
      <c r="A27" s="30" t="s">
        <v>1207</v>
      </c>
      <c r="B27" s="31" t="s">
        <v>1208</v>
      </c>
      <c r="C27" s="31" t="s">
        <v>787</v>
      </c>
      <c r="D27" s="31" t="str">
        <f aca="false">"0,5838"</f>
        <v>0,5838</v>
      </c>
      <c r="E27" s="32" t="s">
        <v>12</v>
      </c>
      <c r="F27" s="32" t="s">
        <v>1209</v>
      </c>
      <c r="G27" s="31" t="s">
        <v>354</v>
      </c>
      <c r="H27" s="31" t="s">
        <v>355</v>
      </c>
      <c r="I27" s="31" t="s">
        <v>351</v>
      </c>
      <c r="J27" s="33"/>
      <c r="K27" s="34" t="str">
        <f aca="false">"195,0"</f>
        <v>195,0</v>
      </c>
      <c r="L27" s="34" t="str">
        <f aca="false">"113,8410"</f>
        <v>113,8410</v>
      </c>
      <c r="M27" s="34"/>
    </row>
    <row r="28" customFormat="false" ht="13.2" hidden="false" customHeight="false" outlineLevel="0" collapsed="false">
      <c r="A28" s="30" t="s">
        <v>1210</v>
      </c>
      <c r="B28" s="31" t="s">
        <v>1211</v>
      </c>
      <c r="C28" s="31" t="s">
        <v>296</v>
      </c>
      <c r="D28" s="31" t="str">
        <f aca="false">"0,5889"</f>
        <v>0,5889</v>
      </c>
      <c r="E28" s="32" t="s">
        <v>12</v>
      </c>
      <c r="F28" s="32" t="s">
        <v>29</v>
      </c>
      <c r="G28" s="31" t="s">
        <v>409</v>
      </c>
      <c r="H28" s="31" t="s">
        <v>402</v>
      </c>
      <c r="I28" s="31" t="s">
        <v>350</v>
      </c>
      <c r="J28" s="33"/>
      <c r="K28" s="34" t="str">
        <f aca="false">"172,5"</f>
        <v>172,5</v>
      </c>
      <c r="L28" s="34" t="str">
        <f aca="false">"101,5766"</f>
        <v>101,5766</v>
      </c>
      <c r="M28" s="34"/>
    </row>
    <row r="29" customFormat="false" ht="13.2" hidden="false" customHeight="false" outlineLevel="0" collapsed="false">
      <c r="A29" s="30" t="s">
        <v>20</v>
      </c>
      <c r="B29" s="31" t="s">
        <v>1212</v>
      </c>
      <c r="C29" s="31" t="s">
        <v>22</v>
      </c>
      <c r="D29" s="31" t="str">
        <f aca="false">"0,5885"</f>
        <v>0,5885</v>
      </c>
      <c r="E29" s="32" t="s">
        <v>12</v>
      </c>
      <c r="F29" s="32" t="s">
        <v>23</v>
      </c>
      <c r="G29" s="31" t="s">
        <v>728</v>
      </c>
      <c r="H29" s="31" t="s">
        <v>343</v>
      </c>
      <c r="I29" s="33" t="s">
        <v>827</v>
      </c>
      <c r="J29" s="33"/>
      <c r="K29" s="34" t="str">
        <f aca="false">"185,0"</f>
        <v>185,0</v>
      </c>
      <c r="L29" s="34" t="str">
        <f aca="false">"117,8100"</f>
        <v>117,8100</v>
      </c>
      <c r="M29" s="34"/>
    </row>
    <row r="30" customFormat="false" ht="13.2" hidden="false" customHeight="false" outlineLevel="0" collapsed="false">
      <c r="A30" s="30" t="s">
        <v>1213</v>
      </c>
      <c r="B30" s="31" t="s">
        <v>1214</v>
      </c>
      <c r="C30" s="31" t="s">
        <v>1215</v>
      </c>
      <c r="D30" s="31" t="str">
        <f aca="false">"0,6082"</f>
        <v>0,6082</v>
      </c>
      <c r="E30" s="32" t="s">
        <v>12</v>
      </c>
      <c r="F30" s="32" t="s">
        <v>229</v>
      </c>
      <c r="G30" s="31" t="s">
        <v>88</v>
      </c>
      <c r="H30" s="31" t="s">
        <v>486</v>
      </c>
      <c r="I30" s="31" t="s">
        <v>102</v>
      </c>
      <c r="J30" s="33"/>
      <c r="K30" s="34" t="str">
        <f aca="false">"82,5"</f>
        <v>82,5</v>
      </c>
      <c r="L30" s="34" t="str">
        <f aca="false">"64,7779"</f>
        <v>64,7779</v>
      </c>
      <c r="M30" s="34"/>
    </row>
    <row r="31" customFormat="false" ht="13.2" hidden="false" customHeight="false" outlineLevel="0" collapsed="false">
      <c r="A31" s="24" t="s">
        <v>1216</v>
      </c>
      <c r="B31" s="25" t="s">
        <v>1217</v>
      </c>
      <c r="C31" s="25" t="s">
        <v>1218</v>
      </c>
      <c r="D31" s="25" t="str">
        <f aca="false">"0,6013"</f>
        <v>0,6013</v>
      </c>
      <c r="E31" s="26" t="s">
        <v>12</v>
      </c>
      <c r="F31" s="26" t="s">
        <v>1178</v>
      </c>
      <c r="G31" s="25" t="s">
        <v>354</v>
      </c>
      <c r="H31" s="25" t="s">
        <v>355</v>
      </c>
      <c r="I31" s="25" t="s">
        <v>1219</v>
      </c>
      <c r="J31" s="27"/>
      <c r="K31" s="28" t="str">
        <f aca="false">"200,0"</f>
        <v>200,0</v>
      </c>
      <c r="L31" s="28" t="str">
        <f aca="false">"161,1484"</f>
        <v>161,1484</v>
      </c>
      <c r="M31" s="28"/>
    </row>
    <row r="33" customFormat="false" ht="15.6" hidden="false" customHeight="false" outlineLevel="0" collapsed="false">
      <c r="A33" s="18" t="s">
        <v>38</v>
      </c>
      <c r="B33" s="18"/>
      <c r="C33" s="18"/>
      <c r="D33" s="18"/>
      <c r="E33" s="18"/>
      <c r="F33" s="18"/>
      <c r="G33" s="18"/>
      <c r="H33" s="18"/>
      <c r="I33" s="18"/>
      <c r="J33" s="18"/>
    </row>
    <row r="34" customFormat="false" ht="13.2" hidden="false" customHeight="false" outlineLevel="0" collapsed="false">
      <c r="A34" s="14" t="s">
        <v>1220</v>
      </c>
      <c r="B34" s="15" t="s">
        <v>1221</v>
      </c>
      <c r="C34" s="15" t="s">
        <v>1222</v>
      </c>
      <c r="D34" s="15" t="str">
        <f aca="false">"0,5494"</f>
        <v>0,5494</v>
      </c>
      <c r="E34" s="16" t="s">
        <v>12</v>
      </c>
      <c r="F34" s="16" t="s">
        <v>29</v>
      </c>
      <c r="G34" s="15" t="s">
        <v>355</v>
      </c>
      <c r="H34" s="17" t="s">
        <v>430</v>
      </c>
      <c r="I34" s="17" t="s">
        <v>356</v>
      </c>
      <c r="J34" s="17"/>
      <c r="K34" s="29" t="str">
        <f aca="false">"190,0"</f>
        <v>190,0</v>
      </c>
      <c r="L34" s="29" t="str">
        <f aca="false">"104,3860"</f>
        <v>104,3860</v>
      </c>
      <c r="M34" s="29"/>
    </row>
    <row r="36" customFormat="false" ht="15.6" hidden="false" customHeight="false" outlineLevel="0" collapsed="false">
      <c r="A36" s="18" t="s">
        <v>525</v>
      </c>
      <c r="B36" s="18"/>
      <c r="C36" s="18"/>
      <c r="D36" s="18"/>
      <c r="E36" s="18"/>
      <c r="F36" s="18"/>
      <c r="G36" s="18"/>
      <c r="H36" s="18"/>
      <c r="I36" s="18"/>
      <c r="J36" s="18"/>
    </row>
    <row r="37" customFormat="false" ht="13.2" hidden="false" customHeight="false" outlineLevel="0" collapsed="false">
      <c r="A37" s="14" t="s">
        <v>1175</v>
      </c>
      <c r="B37" s="15" t="s">
        <v>1176</v>
      </c>
      <c r="C37" s="15" t="s">
        <v>1177</v>
      </c>
      <c r="D37" s="15" t="str">
        <f aca="false">"0,5399"</f>
        <v>0,5399</v>
      </c>
      <c r="E37" s="16" t="s">
        <v>12</v>
      </c>
      <c r="F37" s="16" t="s">
        <v>1178</v>
      </c>
      <c r="G37" s="15" t="s">
        <v>349</v>
      </c>
      <c r="H37" s="15" t="s">
        <v>402</v>
      </c>
      <c r="I37" s="15" t="s">
        <v>728</v>
      </c>
      <c r="J37" s="17"/>
      <c r="K37" s="29" t="str">
        <f aca="false">"175,0"</f>
        <v>175,0</v>
      </c>
      <c r="L37" s="29" t="str">
        <f aca="false">"106,7712"</f>
        <v>106,7712</v>
      </c>
      <c r="M37" s="29"/>
    </row>
    <row r="39" customFormat="false" ht="15" hidden="false" customHeight="false" outlineLevel="0" collapsed="false">
      <c r="E39" s="35" t="s">
        <v>56</v>
      </c>
    </row>
    <row r="40" customFormat="false" ht="15" hidden="false" customHeight="false" outlineLevel="0" collapsed="false">
      <c r="E40" s="35" t="s">
        <v>57</v>
      </c>
    </row>
    <row r="41" customFormat="false" ht="15" hidden="false" customHeight="false" outlineLevel="0" collapsed="false">
      <c r="E41" s="35" t="s">
        <v>58</v>
      </c>
    </row>
    <row r="42" customFormat="false" ht="13.2" hidden="false" customHeight="false" outlineLevel="0" collapsed="false">
      <c r="E42" s="3" t="s">
        <v>59</v>
      </c>
    </row>
    <row r="43" customFormat="false" ht="13.2" hidden="false" customHeight="false" outlineLevel="0" collapsed="false">
      <c r="E43" s="3" t="s">
        <v>60</v>
      </c>
    </row>
    <row r="44" customFormat="false" ht="13.2" hidden="false" customHeight="false" outlineLevel="0" collapsed="false">
      <c r="E44" s="3" t="s">
        <v>61</v>
      </c>
    </row>
    <row r="47" customFormat="false" ht="17.4" hidden="false" customHeight="false" outlineLevel="0" collapsed="false">
      <c r="A47" s="36" t="s">
        <v>62</v>
      </c>
      <c r="B47" s="37"/>
    </row>
    <row r="48" customFormat="false" ht="15.6" hidden="false" customHeight="false" outlineLevel="0" collapsed="false">
      <c r="A48" s="38" t="s">
        <v>182</v>
      </c>
      <c r="B48" s="18"/>
    </row>
    <row r="49" customFormat="false" ht="14.4" hidden="false" customHeight="false" outlineLevel="0" collapsed="false">
      <c r="A49" s="39"/>
      <c r="B49" s="40" t="s">
        <v>114</v>
      </c>
    </row>
    <row r="50" customFormat="false" ht="13.8" hidden="false" customHeight="false" outlineLevel="0" collapsed="false">
      <c r="A50" s="41" t="s">
        <v>1</v>
      </c>
      <c r="B50" s="41" t="s">
        <v>65</v>
      </c>
      <c r="C50" s="41" t="s">
        <v>66</v>
      </c>
      <c r="D50" s="41" t="s">
        <v>67</v>
      </c>
      <c r="E50" s="41" t="s">
        <v>4</v>
      </c>
    </row>
    <row r="51" customFormat="false" ht="13.2" hidden="false" customHeight="false" outlineLevel="0" collapsed="false">
      <c r="A51" s="42" t="s">
        <v>183</v>
      </c>
      <c r="B51" s="2" t="s">
        <v>533</v>
      </c>
      <c r="C51" s="2" t="s">
        <v>184</v>
      </c>
      <c r="D51" s="2" t="s">
        <v>240</v>
      </c>
      <c r="E51" s="1" t="s">
        <v>1223</v>
      </c>
    </row>
    <row r="53" customFormat="false" ht="14.4" hidden="false" customHeight="false" outlineLevel="0" collapsed="false">
      <c r="A53" s="39"/>
      <c r="B53" s="40" t="s">
        <v>130</v>
      </c>
    </row>
    <row r="54" customFormat="false" ht="13.8" hidden="false" customHeight="false" outlineLevel="0" collapsed="false">
      <c r="A54" s="41" t="s">
        <v>1</v>
      </c>
      <c r="B54" s="41" t="s">
        <v>65</v>
      </c>
      <c r="C54" s="41" t="s">
        <v>66</v>
      </c>
      <c r="D54" s="41" t="s">
        <v>67</v>
      </c>
      <c r="E54" s="41" t="s">
        <v>4</v>
      </c>
    </row>
    <row r="55" customFormat="false" ht="13.2" hidden="false" customHeight="false" outlineLevel="0" collapsed="false">
      <c r="A55" s="42" t="s">
        <v>191</v>
      </c>
      <c r="B55" s="2" t="s">
        <v>259</v>
      </c>
      <c r="C55" s="2" t="s">
        <v>124</v>
      </c>
      <c r="D55" s="2" t="s">
        <v>170</v>
      </c>
      <c r="E55" s="1" t="s">
        <v>1224</v>
      </c>
    </row>
    <row r="56" customFormat="false" ht="13.2" hidden="false" customHeight="false" outlineLevel="0" collapsed="false">
      <c r="A56" s="42" t="s">
        <v>1225</v>
      </c>
      <c r="B56" s="2" t="s">
        <v>1226</v>
      </c>
      <c r="C56" s="2" t="s">
        <v>247</v>
      </c>
      <c r="D56" s="2" t="s">
        <v>272</v>
      </c>
      <c r="E56" s="1" t="s">
        <v>1227</v>
      </c>
    </row>
    <row r="57" customFormat="false" ht="13.2" hidden="false" customHeight="false" outlineLevel="0" collapsed="false">
      <c r="A57" s="42" t="s">
        <v>1228</v>
      </c>
      <c r="B57" s="2" t="s">
        <v>551</v>
      </c>
      <c r="C57" s="2" t="s">
        <v>188</v>
      </c>
      <c r="D57" s="2" t="s">
        <v>236</v>
      </c>
      <c r="E57" s="1" t="s">
        <v>1229</v>
      </c>
    </row>
    <row r="60" customFormat="false" ht="15.6" hidden="false" customHeight="false" outlineLevel="0" collapsed="false">
      <c r="A60" s="38" t="s">
        <v>63</v>
      </c>
      <c r="B60" s="18"/>
    </row>
    <row r="61" customFormat="false" ht="14.4" hidden="false" customHeight="false" outlineLevel="0" collapsed="false">
      <c r="A61" s="39"/>
      <c r="B61" s="40" t="s">
        <v>64</v>
      </c>
    </row>
    <row r="62" customFormat="false" ht="13.8" hidden="false" customHeight="false" outlineLevel="0" collapsed="false">
      <c r="A62" s="41" t="s">
        <v>1</v>
      </c>
      <c r="B62" s="41" t="s">
        <v>65</v>
      </c>
      <c r="C62" s="41" t="s">
        <v>66</v>
      </c>
      <c r="D62" s="41" t="s">
        <v>67</v>
      </c>
      <c r="E62" s="41" t="s">
        <v>4</v>
      </c>
    </row>
    <row r="63" customFormat="false" ht="13.2" hidden="false" customHeight="false" outlineLevel="0" collapsed="false">
      <c r="A63" s="42" t="s">
        <v>1230</v>
      </c>
      <c r="B63" s="2" t="s">
        <v>64</v>
      </c>
      <c r="C63" s="2" t="s">
        <v>77</v>
      </c>
      <c r="D63" s="2" t="s">
        <v>499</v>
      </c>
      <c r="E63" s="1" t="s">
        <v>1231</v>
      </c>
    </row>
    <row r="64" customFormat="false" ht="13.2" hidden="false" customHeight="false" outlineLevel="0" collapsed="false">
      <c r="A64" s="42" t="s">
        <v>1232</v>
      </c>
      <c r="B64" s="2" t="s">
        <v>64</v>
      </c>
      <c r="C64" s="2" t="s">
        <v>120</v>
      </c>
      <c r="D64" s="2" t="s">
        <v>351</v>
      </c>
      <c r="E64" s="1" t="s">
        <v>1233</v>
      </c>
    </row>
    <row r="65" customFormat="false" ht="13.2" hidden="false" customHeight="false" outlineLevel="0" collapsed="false">
      <c r="A65" s="42" t="s">
        <v>1234</v>
      </c>
      <c r="B65" s="2" t="s">
        <v>64</v>
      </c>
      <c r="C65" s="2" t="s">
        <v>120</v>
      </c>
      <c r="D65" s="2" t="s">
        <v>413</v>
      </c>
      <c r="E65" s="1" t="s">
        <v>1235</v>
      </c>
    </row>
    <row r="66" customFormat="false" ht="13.2" hidden="false" customHeight="false" outlineLevel="0" collapsed="false">
      <c r="A66" s="42" t="s">
        <v>1236</v>
      </c>
      <c r="B66" s="2" t="s">
        <v>64</v>
      </c>
      <c r="C66" s="2" t="s">
        <v>77</v>
      </c>
      <c r="D66" s="2" t="s">
        <v>351</v>
      </c>
      <c r="E66" s="1" t="s">
        <v>1237</v>
      </c>
    </row>
    <row r="67" customFormat="false" ht="13.2" hidden="false" customHeight="false" outlineLevel="0" collapsed="false">
      <c r="A67" s="42" t="s">
        <v>1238</v>
      </c>
      <c r="B67" s="2" t="s">
        <v>64</v>
      </c>
      <c r="C67" s="2" t="s">
        <v>72</v>
      </c>
      <c r="D67" s="2" t="s">
        <v>355</v>
      </c>
      <c r="E67" s="1" t="s">
        <v>1239</v>
      </c>
    </row>
    <row r="68" customFormat="false" ht="13.2" hidden="false" customHeight="false" outlineLevel="0" collapsed="false">
      <c r="A68" s="42" t="s">
        <v>1240</v>
      </c>
      <c r="B68" s="2" t="s">
        <v>64</v>
      </c>
      <c r="C68" s="2" t="s">
        <v>77</v>
      </c>
      <c r="D68" s="2" t="s">
        <v>350</v>
      </c>
      <c r="E68" s="1" t="s">
        <v>1241</v>
      </c>
    </row>
    <row r="69" customFormat="false" ht="13.2" hidden="false" customHeight="false" outlineLevel="0" collapsed="false">
      <c r="A69" s="42" t="s">
        <v>544</v>
      </c>
      <c r="B69" s="2" t="s">
        <v>64</v>
      </c>
      <c r="C69" s="2" t="s">
        <v>120</v>
      </c>
      <c r="D69" s="2" t="s">
        <v>660</v>
      </c>
      <c r="E69" s="1" t="s">
        <v>1242</v>
      </c>
    </row>
    <row r="71" customFormat="false" ht="14.4" hidden="false" customHeight="false" outlineLevel="0" collapsed="false">
      <c r="A71" s="39"/>
      <c r="B71" s="40" t="s">
        <v>130</v>
      </c>
    </row>
    <row r="72" customFormat="false" ht="13.8" hidden="false" customHeight="false" outlineLevel="0" collapsed="false">
      <c r="A72" s="41" t="s">
        <v>1</v>
      </c>
      <c r="B72" s="41" t="s">
        <v>65</v>
      </c>
      <c r="C72" s="41" t="s">
        <v>66</v>
      </c>
      <c r="D72" s="41" t="s">
        <v>67</v>
      </c>
      <c r="E72" s="41" t="s">
        <v>4</v>
      </c>
    </row>
    <row r="73" customFormat="false" ht="13.2" hidden="false" customHeight="false" outlineLevel="0" collapsed="false">
      <c r="A73" s="42" t="s">
        <v>1195</v>
      </c>
      <c r="B73" s="2" t="s">
        <v>1243</v>
      </c>
      <c r="C73" s="2" t="s">
        <v>77</v>
      </c>
      <c r="D73" s="2" t="s">
        <v>430</v>
      </c>
      <c r="E73" s="1" t="s">
        <v>1244</v>
      </c>
    </row>
    <row r="74" customFormat="false" ht="13.2" hidden="false" customHeight="false" outlineLevel="0" collapsed="false">
      <c r="A74" s="42" t="s">
        <v>203</v>
      </c>
      <c r="B74" s="2" t="s">
        <v>551</v>
      </c>
      <c r="C74" s="2" t="s">
        <v>69</v>
      </c>
      <c r="D74" s="2" t="s">
        <v>402</v>
      </c>
      <c r="E74" s="1" t="s">
        <v>1245</v>
      </c>
    </row>
    <row r="75" customFormat="false" ht="13.2" hidden="false" customHeight="false" outlineLevel="0" collapsed="false">
      <c r="A75" s="42" t="s">
        <v>76</v>
      </c>
      <c r="B75" s="2" t="s">
        <v>551</v>
      </c>
      <c r="C75" s="2" t="s">
        <v>77</v>
      </c>
      <c r="D75" s="2" t="s">
        <v>343</v>
      </c>
      <c r="E75" s="1" t="s">
        <v>1246</v>
      </c>
    </row>
    <row r="76" customFormat="false" ht="13.2" hidden="false" customHeight="false" outlineLevel="0" collapsed="false">
      <c r="A76" s="42" t="s">
        <v>1182</v>
      </c>
      <c r="B76" s="2" t="s">
        <v>549</v>
      </c>
      <c r="C76" s="2" t="s">
        <v>540</v>
      </c>
      <c r="D76" s="2" t="s">
        <v>728</v>
      </c>
      <c r="E76" s="1" t="s">
        <v>1247</v>
      </c>
    </row>
    <row r="77" customFormat="false" ht="13.2" hidden="false" customHeight="false" outlineLevel="0" collapsed="false">
      <c r="A77" s="42" t="s">
        <v>1248</v>
      </c>
      <c r="B77" s="2" t="s">
        <v>304</v>
      </c>
      <c r="C77" s="2" t="s">
        <v>77</v>
      </c>
      <c r="D77" s="2" t="s">
        <v>102</v>
      </c>
      <c r="E77" s="1" t="s">
        <v>1249</v>
      </c>
    </row>
  </sheetData>
  <mergeCells count="17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4:J14"/>
    <mergeCell ref="A17:J17"/>
    <mergeCell ref="A22:J22"/>
    <mergeCell ref="A25:J25"/>
    <mergeCell ref="A33:J33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7" min="7" style="1" width="21.78"/>
    <col collapsed="false" customWidth="true" hidden="false" outlineLevel="0" max="8" min="8" style="2" width="4.56"/>
    <col collapsed="false" customWidth="true" hidden="false" outlineLevel="0" max="9" min="9" style="4" width="9"/>
    <col collapsed="false" customWidth="true" hidden="false" outlineLevel="0" max="10" min="10" style="4" width="11.99"/>
    <col collapsed="false" customWidth="false" hidden="false" outlineLevel="0" max="1024" min="11" style="4" width="9.13"/>
  </cols>
  <sheetData>
    <row r="1" customFormat="false" ht="28.95" hidden="false" customHeight="true" outlineLevel="0" collapsed="false">
      <c r="A1" s="5" t="s">
        <v>79</v>
      </c>
      <c r="B1" s="5"/>
      <c r="C1" s="5"/>
      <c r="D1" s="5"/>
      <c r="E1" s="5"/>
      <c r="F1" s="5"/>
      <c r="G1" s="5"/>
      <c r="H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3" t="s">
        <v>80</v>
      </c>
      <c r="H3" s="8" t="s">
        <v>81</v>
      </c>
      <c r="I3" s="11" t="s">
        <v>82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43"/>
      <c r="H4" s="8"/>
    </row>
    <row r="5" s="2" customFormat="true" ht="15.6" hidden="false" customHeight="false" outlineLevel="0" collapsed="false">
      <c r="A5" s="13" t="s">
        <v>83</v>
      </c>
      <c r="B5" s="13"/>
      <c r="C5" s="13"/>
      <c r="D5" s="13"/>
      <c r="E5" s="13"/>
      <c r="F5" s="13"/>
      <c r="G5" s="13"/>
      <c r="H5" s="13"/>
    </row>
    <row r="6" s="2" customFormat="true" ht="13.2" hidden="false" customHeight="false" outlineLevel="0" collapsed="false">
      <c r="A6" s="19" t="s">
        <v>84</v>
      </c>
      <c r="B6" s="20" t="s">
        <v>85</v>
      </c>
      <c r="C6" s="20" t="s">
        <v>86</v>
      </c>
      <c r="D6" s="20" t="str">
        <f aca="false">"0,6940"</f>
        <v>0,6940</v>
      </c>
      <c r="E6" s="21" t="s">
        <v>87</v>
      </c>
      <c r="F6" s="21" t="s">
        <v>29</v>
      </c>
      <c r="G6" s="19" t="s">
        <v>88</v>
      </c>
      <c r="H6" s="20" t="s">
        <v>89</v>
      </c>
      <c r="I6" s="20" t="s">
        <v>90</v>
      </c>
      <c r="J6" s="20" t="s">
        <v>91</v>
      </c>
      <c r="K6" s="20"/>
    </row>
    <row r="7" s="2" customFormat="true" ht="13.2" hidden="false" customHeight="false" outlineLevel="0" collapsed="false">
      <c r="A7" s="24" t="s">
        <v>92</v>
      </c>
      <c r="B7" s="25" t="s">
        <v>93</v>
      </c>
      <c r="C7" s="25" t="s">
        <v>94</v>
      </c>
      <c r="D7" s="25" t="str">
        <f aca="false">"0,6892"</f>
        <v>0,6892</v>
      </c>
      <c r="E7" s="26" t="s">
        <v>12</v>
      </c>
      <c r="F7" s="26" t="s">
        <v>29</v>
      </c>
      <c r="G7" s="24" t="s">
        <v>88</v>
      </c>
      <c r="H7" s="25" t="s">
        <v>95</v>
      </c>
      <c r="I7" s="25" t="s">
        <v>96</v>
      </c>
      <c r="J7" s="25" t="s">
        <v>97</v>
      </c>
      <c r="K7" s="25"/>
    </row>
    <row r="9" customFormat="false" ht="15.6" hidden="false" customHeight="false" outlineLevel="0" collapsed="false">
      <c r="A9" s="18" t="s">
        <v>98</v>
      </c>
      <c r="B9" s="18"/>
      <c r="C9" s="18"/>
      <c r="D9" s="18"/>
      <c r="E9" s="18"/>
      <c r="F9" s="18"/>
      <c r="G9" s="18"/>
      <c r="H9" s="18"/>
    </row>
    <row r="10" customFormat="false" ht="13.2" hidden="false" customHeight="false" outlineLevel="0" collapsed="false">
      <c r="A10" s="14" t="s">
        <v>99</v>
      </c>
      <c r="B10" s="15" t="s">
        <v>100</v>
      </c>
      <c r="C10" s="15" t="s">
        <v>101</v>
      </c>
      <c r="D10" s="15" t="str">
        <f aca="false">"0,6487"</f>
        <v>0,6487</v>
      </c>
      <c r="E10" s="16" t="s">
        <v>12</v>
      </c>
      <c r="F10" s="16" t="s">
        <v>29</v>
      </c>
      <c r="G10" s="14" t="s">
        <v>102</v>
      </c>
      <c r="H10" s="15" t="s">
        <v>103</v>
      </c>
      <c r="I10" s="29" t="str">
        <f aca="false">"2475,0"</f>
        <v>2475,0</v>
      </c>
      <c r="J10" s="29" t="str">
        <f aca="false">"1605,5325"</f>
        <v>1605,5325</v>
      </c>
      <c r="K10" s="29"/>
    </row>
    <row r="12" customFormat="false" ht="15.6" hidden="false" customHeight="false" outlineLevel="0" collapsed="false">
      <c r="A12" s="18" t="s">
        <v>8</v>
      </c>
      <c r="B12" s="18"/>
      <c r="C12" s="18"/>
      <c r="D12" s="18"/>
      <c r="E12" s="18"/>
      <c r="F12" s="18"/>
      <c r="G12" s="18"/>
      <c r="H12" s="18"/>
    </row>
    <row r="13" customFormat="false" ht="13.2" hidden="false" customHeight="false" outlineLevel="0" collapsed="false">
      <c r="A13" s="19" t="s">
        <v>104</v>
      </c>
      <c r="B13" s="20" t="s">
        <v>105</v>
      </c>
      <c r="C13" s="20" t="s">
        <v>106</v>
      </c>
      <c r="D13" s="20" t="str">
        <f aca="false">"0,6326"</f>
        <v>0,6326</v>
      </c>
      <c r="E13" s="21" t="s">
        <v>12</v>
      </c>
      <c r="F13" s="21" t="s">
        <v>107</v>
      </c>
      <c r="G13" s="19" t="s">
        <v>108</v>
      </c>
      <c r="H13" s="20" t="s">
        <v>109</v>
      </c>
      <c r="I13" s="23" t="str">
        <f aca="false">"1360,0"</f>
        <v>1360,0</v>
      </c>
      <c r="J13" s="23" t="str">
        <f aca="false">"860,3360"</f>
        <v>860,3360</v>
      </c>
      <c r="K13" s="23"/>
    </row>
    <row r="14" customFormat="false" ht="13.2" hidden="false" customHeight="false" outlineLevel="0" collapsed="false">
      <c r="A14" s="24" t="s">
        <v>110</v>
      </c>
      <c r="B14" s="25" t="s">
        <v>111</v>
      </c>
      <c r="C14" s="25" t="s">
        <v>112</v>
      </c>
      <c r="D14" s="25" t="str">
        <f aca="false">"0,6411"</f>
        <v>0,6411</v>
      </c>
      <c r="E14" s="26" t="s">
        <v>12</v>
      </c>
      <c r="F14" s="26" t="s">
        <v>29</v>
      </c>
      <c r="G14" s="24" t="s">
        <v>108</v>
      </c>
      <c r="H14" s="25" t="s">
        <v>113</v>
      </c>
      <c r="I14" s="28" t="str">
        <f aca="false">"2040,0"</f>
        <v>2040,0</v>
      </c>
      <c r="J14" s="28" t="str">
        <f aca="false">"1307,8440"</f>
        <v>1307,8440</v>
      </c>
      <c r="K14" s="28"/>
    </row>
    <row r="16" customFormat="false" ht="15" hidden="false" customHeight="false" outlineLevel="0" collapsed="false">
      <c r="E16" s="35" t="s">
        <v>56</v>
      </c>
    </row>
    <row r="17" customFormat="false" ht="15" hidden="false" customHeight="false" outlineLevel="0" collapsed="false">
      <c r="E17" s="35" t="s">
        <v>57</v>
      </c>
    </row>
    <row r="18" customFormat="false" ht="15" hidden="false" customHeight="false" outlineLevel="0" collapsed="false">
      <c r="E18" s="35" t="s">
        <v>58</v>
      </c>
    </row>
    <row r="19" customFormat="false" ht="13.2" hidden="false" customHeight="false" outlineLevel="0" collapsed="false">
      <c r="E19" s="3" t="s">
        <v>59</v>
      </c>
    </row>
    <row r="20" customFormat="false" ht="13.2" hidden="false" customHeight="false" outlineLevel="0" collapsed="false">
      <c r="E20" s="3" t="s">
        <v>60</v>
      </c>
    </row>
    <row r="21" customFormat="false" ht="13.2" hidden="false" customHeight="false" outlineLevel="0" collapsed="false">
      <c r="E21" s="3" t="s">
        <v>61</v>
      </c>
    </row>
    <row r="24" customFormat="false" ht="17.4" hidden="false" customHeight="false" outlineLevel="0" collapsed="false">
      <c r="A24" s="36" t="s">
        <v>62</v>
      </c>
      <c r="B24" s="37"/>
    </row>
    <row r="25" customFormat="false" ht="15.6" hidden="false" customHeight="false" outlineLevel="0" collapsed="false">
      <c r="A25" s="38" t="s">
        <v>63</v>
      </c>
      <c r="B25" s="18"/>
    </row>
    <row r="26" customFormat="false" ht="14.4" hidden="false" customHeight="false" outlineLevel="0" collapsed="false">
      <c r="A26" s="39"/>
      <c r="B26" s="40" t="s">
        <v>114</v>
      </c>
    </row>
    <row r="27" customFormat="false" ht="13.8" hidden="false" customHeight="false" outlineLevel="0" collapsed="false">
      <c r="A27" s="41" t="s">
        <v>1</v>
      </c>
      <c r="B27" s="41" t="s">
        <v>65</v>
      </c>
      <c r="C27" s="41" t="s">
        <v>66</v>
      </c>
      <c r="D27" s="41" t="s">
        <v>67</v>
      </c>
      <c r="E27" s="41" t="s">
        <v>4</v>
      </c>
    </row>
    <row r="28" customFormat="false" ht="13.2" hidden="false" customHeight="false" outlineLevel="0" collapsed="false">
      <c r="A28" s="42" t="s">
        <v>115</v>
      </c>
      <c r="B28" s="2" t="s">
        <v>116</v>
      </c>
      <c r="C28" s="2" t="s">
        <v>69</v>
      </c>
      <c r="D28" s="2" t="s">
        <v>117</v>
      </c>
      <c r="E28" s="1" t="s">
        <v>118</v>
      </c>
    </row>
    <row r="30" customFormat="false" ht="14.4" hidden="false" customHeight="false" outlineLevel="0" collapsed="false">
      <c r="A30" s="39"/>
      <c r="B30" s="40" t="s">
        <v>64</v>
      </c>
    </row>
    <row r="31" customFormat="false" ht="13.8" hidden="false" customHeight="false" outlineLevel="0" collapsed="false">
      <c r="A31" s="41" t="s">
        <v>1</v>
      </c>
      <c r="B31" s="41" t="s">
        <v>65</v>
      </c>
      <c r="C31" s="41" t="s">
        <v>66</v>
      </c>
      <c r="D31" s="41" t="s">
        <v>67</v>
      </c>
      <c r="E31" s="41" t="s">
        <v>4</v>
      </c>
    </row>
    <row r="32" customFormat="false" ht="13.2" hidden="false" customHeight="false" outlineLevel="0" collapsed="false">
      <c r="A32" s="42" t="s">
        <v>119</v>
      </c>
      <c r="B32" s="2" t="s">
        <v>64</v>
      </c>
      <c r="C32" s="2" t="s">
        <v>120</v>
      </c>
      <c r="D32" s="2" t="s">
        <v>121</v>
      </c>
      <c r="E32" s="1" t="s">
        <v>122</v>
      </c>
    </row>
    <row r="33" customFormat="false" ht="13.2" hidden="false" customHeight="false" outlineLevel="0" collapsed="false">
      <c r="A33" s="42" t="s">
        <v>123</v>
      </c>
      <c r="B33" s="2" t="s">
        <v>64</v>
      </c>
      <c r="C33" s="2" t="s">
        <v>124</v>
      </c>
      <c r="D33" s="2" t="s">
        <v>125</v>
      </c>
      <c r="E33" s="1" t="s">
        <v>126</v>
      </c>
    </row>
    <row r="34" customFormat="false" ht="13.2" hidden="false" customHeight="false" outlineLevel="0" collapsed="false">
      <c r="A34" s="42" t="s">
        <v>127</v>
      </c>
      <c r="B34" s="2" t="s">
        <v>64</v>
      </c>
      <c r="C34" s="2" t="s">
        <v>69</v>
      </c>
      <c r="D34" s="2" t="s">
        <v>128</v>
      </c>
      <c r="E34" s="1" t="s">
        <v>129</v>
      </c>
    </row>
    <row r="36" customFormat="false" ht="14.4" hidden="false" customHeight="false" outlineLevel="0" collapsed="false">
      <c r="A36" s="39"/>
      <c r="B36" s="40" t="s">
        <v>130</v>
      </c>
    </row>
    <row r="37" customFormat="false" ht="13.8" hidden="false" customHeight="false" outlineLevel="0" collapsed="false">
      <c r="A37" s="41" t="s">
        <v>1</v>
      </c>
      <c r="B37" s="41" t="s">
        <v>65</v>
      </c>
      <c r="C37" s="41" t="s">
        <v>66</v>
      </c>
      <c r="D37" s="41" t="s">
        <v>67</v>
      </c>
      <c r="E37" s="41" t="s">
        <v>4</v>
      </c>
    </row>
    <row r="38" customFormat="false" ht="13.2" hidden="false" customHeight="false" outlineLevel="0" collapsed="false">
      <c r="A38" s="42" t="s">
        <v>131</v>
      </c>
      <c r="B38" s="2" t="s">
        <v>132</v>
      </c>
      <c r="C38" s="2" t="s">
        <v>124</v>
      </c>
      <c r="D38" s="2" t="s">
        <v>133</v>
      </c>
      <c r="E38" s="1" t="s">
        <v>134</v>
      </c>
    </row>
  </sheetData>
  <mergeCells count="12">
    <mergeCell ref="A1:H2"/>
    <mergeCell ref="A3:A4"/>
    <mergeCell ref="B3:B4"/>
    <mergeCell ref="C3:C4"/>
    <mergeCell ref="D3:D4"/>
    <mergeCell ref="E3:E4"/>
    <mergeCell ref="F3:F4"/>
    <mergeCell ref="G3:G4"/>
    <mergeCell ref="H3:H4"/>
    <mergeCell ref="A5:H5"/>
    <mergeCell ref="A9:H9"/>
    <mergeCell ref="A12:H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19.12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8" min="7" style="2" width="5.55"/>
    <col collapsed="false" customWidth="true" hidden="false" outlineLevel="0" max="10" min="9" style="2" width="2.12"/>
    <col collapsed="false" customWidth="true" hidden="false" outlineLevel="0" max="11" min="11" style="2" width="5.55"/>
    <col collapsed="false" customWidth="true" hidden="false" outlineLevel="0" max="14" min="12" style="2" width="2.12"/>
    <col collapsed="false" customWidth="true" hidden="false" outlineLevel="0" max="15" min="15" style="2" width="5.55"/>
    <col collapsed="false" customWidth="true" hidden="false" outlineLevel="0" max="18" min="16" style="2" width="3.22"/>
    <col collapsed="false" customWidth="true" hidden="false" outlineLevel="0" max="19" min="19" style="4" width="7"/>
    <col collapsed="false" customWidth="true" hidden="false" outlineLevel="0" max="20" min="20" style="4" width="9"/>
    <col collapsed="false" customWidth="true" hidden="false" outlineLevel="0" max="21" min="21" style="4" width="17.44"/>
    <col collapsed="false" customWidth="false" hidden="false" outlineLevel="0" max="1024" min="22" style="4" width="9.13"/>
  </cols>
  <sheetData>
    <row r="1" customFormat="false" ht="28.95" hidden="false" customHeight="true" outlineLevel="0" collapsed="false">
      <c r="A1" s="5" t="s">
        <v>1250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5" t="s">
        <v>949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  <c r="K4" s="12" t="n">
        <v>5</v>
      </c>
      <c r="L4" s="12" t="n">
        <v>6</v>
      </c>
      <c r="M4" s="12" t="n">
        <v>7</v>
      </c>
      <c r="N4" s="12" t="n">
        <v>8</v>
      </c>
      <c r="O4" s="12" t="n">
        <v>9</v>
      </c>
      <c r="P4" s="12" t="n">
        <v>10</v>
      </c>
      <c r="Q4" s="12" t="n">
        <v>11</v>
      </c>
      <c r="R4" s="12" t="n">
        <v>12</v>
      </c>
    </row>
    <row r="5" s="2" customFormat="true" ht="15.6" hidden="false" customHeight="false" outlineLevel="0" collapsed="false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="2" customFormat="true" ht="13.2" hidden="false" customHeight="false" outlineLevel="0" collapsed="false">
      <c r="A6" s="14" t="s">
        <v>1251</v>
      </c>
      <c r="B6" s="15" t="s">
        <v>1252</v>
      </c>
      <c r="C6" s="15" t="s">
        <v>1253</v>
      </c>
      <c r="D6" s="15" t="str">
        <f aca="false">"0,5843"</f>
        <v>0,5843</v>
      </c>
      <c r="E6" s="16" t="s">
        <v>12</v>
      </c>
      <c r="F6" s="16" t="s">
        <v>29</v>
      </c>
      <c r="G6" s="17" t="s">
        <v>189</v>
      </c>
      <c r="H6" s="17" t="s">
        <v>189</v>
      </c>
      <c r="I6" s="17"/>
      <c r="J6" s="17"/>
      <c r="K6" s="17" t="s">
        <v>343</v>
      </c>
      <c r="L6" s="17"/>
      <c r="M6" s="17"/>
      <c r="N6" s="17"/>
      <c r="O6" s="17" t="s">
        <v>501</v>
      </c>
      <c r="P6" s="17"/>
      <c r="Q6" s="17"/>
      <c r="R6" s="17"/>
      <c r="S6" s="15" t="s">
        <v>953</v>
      </c>
      <c r="T6" s="15" t="s">
        <v>954</v>
      </c>
      <c r="U6" s="15" t="s">
        <v>1254</v>
      </c>
    </row>
    <row r="7" s="2" customFormat="true" ht="13.2" hidden="false" customHeight="false" outlineLevel="0" collapsed="false">
      <c r="A7" s="1"/>
      <c r="E7" s="3"/>
      <c r="F7" s="3"/>
    </row>
    <row r="8" customFormat="false" ht="15" hidden="false" customHeight="false" outlineLevel="0" collapsed="false">
      <c r="E8" s="35" t="s">
        <v>56</v>
      </c>
    </row>
    <row r="9" customFormat="false" ht="15" hidden="false" customHeight="false" outlineLevel="0" collapsed="false">
      <c r="E9" s="35" t="s">
        <v>57</v>
      </c>
    </row>
    <row r="10" customFormat="false" ht="15" hidden="false" customHeight="false" outlineLevel="0" collapsed="false">
      <c r="E10" s="35" t="s">
        <v>58</v>
      </c>
    </row>
    <row r="11" customFormat="false" ht="13.2" hidden="false" customHeight="false" outlineLevel="0" collapsed="false">
      <c r="E11" s="3" t="s">
        <v>59</v>
      </c>
    </row>
    <row r="12" customFormat="false" ht="13.2" hidden="false" customHeight="false" outlineLevel="0" collapsed="false">
      <c r="E12" s="3" t="s">
        <v>60</v>
      </c>
    </row>
    <row r="13" customFormat="false" ht="13.2" hidden="false" customHeight="false" outlineLevel="0" collapsed="false">
      <c r="E13" s="3" t="s">
        <v>61</v>
      </c>
    </row>
    <row r="16" customFormat="false" ht="17.4" hidden="false" customHeight="false" outlineLevel="0" collapsed="false">
      <c r="A16" s="36" t="s">
        <v>62</v>
      </c>
      <c r="B16" s="37"/>
    </row>
  </sheetData>
  <mergeCells count="9">
    <mergeCell ref="A1:R2"/>
    <mergeCell ref="A3:A4"/>
    <mergeCell ref="B3:B4"/>
    <mergeCell ref="C3:C4"/>
    <mergeCell ref="D3:D4"/>
    <mergeCell ref="E3:E4"/>
    <mergeCell ref="F3:F4"/>
    <mergeCell ref="G3:R3"/>
    <mergeCell ref="A5:R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3" min="11" style="2" width="5.55"/>
    <col collapsed="false" customWidth="true" hidden="false" outlineLevel="0" max="14" min="14" style="2" width="2.12"/>
    <col collapsed="false" customWidth="true" hidden="false" outlineLevel="0" max="17" min="15" style="2" width="5.55"/>
    <col collapsed="false" customWidth="true" hidden="false" outlineLevel="0" max="18" min="18" style="2" width="3.22"/>
    <col collapsed="false" customWidth="true" hidden="false" outlineLevel="0" max="19" min="19" style="4" width="8"/>
    <col collapsed="false" customWidth="true" hidden="false" outlineLevel="0" max="20" min="20" style="4" width="10.99"/>
    <col collapsed="false" customWidth="false" hidden="false" outlineLevel="0" max="1024" min="21" style="4" width="9.13"/>
  </cols>
  <sheetData>
    <row r="1" customFormat="false" ht="28.95" hidden="false" customHeight="true" outlineLevel="0" collapsed="false">
      <c r="A1" s="5" t="s">
        <v>1255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5" t="s">
        <v>949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  <c r="K4" s="12" t="n">
        <v>5</v>
      </c>
      <c r="L4" s="12" t="n">
        <v>6</v>
      </c>
      <c r="M4" s="12" t="n">
        <v>7</v>
      </c>
      <c r="N4" s="12" t="n">
        <v>8</v>
      </c>
      <c r="O4" s="12" t="n">
        <v>9</v>
      </c>
      <c r="P4" s="12" t="n">
        <v>10</v>
      </c>
      <c r="Q4" s="12" t="n">
        <v>11</v>
      </c>
      <c r="R4" s="12" t="n">
        <v>12</v>
      </c>
    </row>
    <row r="5" s="2" customFormat="true" ht="15.6" hidden="false" customHeight="false" outlineLevel="0" collapsed="false">
      <c r="A5" s="13" t="s">
        <v>98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="2" customFormat="true" ht="13.2" hidden="false" customHeight="false" outlineLevel="0" collapsed="false">
      <c r="A6" s="14" t="s">
        <v>1256</v>
      </c>
      <c r="B6" s="15" t="s">
        <v>1257</v>
      </c>
      <c r="C6" s="15" t="s">
        <v>1258</v>
      </c>
      <c r="D6" s="15" t="str">
        <f aca="false">"0,6578"</f>
        <v>0,6578</v>
      </c>
      <c r="E6" s="16" t="s">
        <v>12</v>
      </c>
      <c r="F6" s="16" t="s">
        <v>1259</v>
      </c>
      <c r="G6" s="17" t="s">
        <v>430</v>
      </c>
      <c r="H6" s="15" t="s">
        <v>430</v>
      </c>
      <c r="I6" s="17" t="s">
        <v>559</v>
      </c>
      <c r="J6" s="17"/>
      <c r="K6" s="15" t="s">
        <v>331</v>
      </c>
      <c r="L6" s="15" t="s">
        <v>386</v>
      </c>
      <c r="M6" s="17" t="s">
        <v>723</v>
      </c>
      <c r="N6" s="17"/>
      <c r="O6" s="15" t="s">
        <v>499</v>
      </c>
      <c r="P6" s="15" t="s">
        <v>514</v>
      </c>
      <c r="Q6" s="15" t="s">
        <v>503</v>
      </c>
      <c r="R6" s="17"/>
      <c r="S6" s="15" t="s">
        <v>1260</v>
      </c>
      <c r="T6" s="15" t="s">
        <v>1261</v>
      </c>
      <c r="U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customFormat="false" ht="13.2" hidden="false" customHeight="false" outlineLevel="0" collapsed="false">
      <c r="A9" s="19" t="s">
        <v>232</v>
      </c>
      <c r="B9" s="20" t="s">
        <v>233</v>
      </c>
      <c r="C9" s="20" t="s">
        <v>234</v>
      </c>
      <c r="D9" s="20" t="str">
        <f aca="false">"0,6119"</f>
        <v>0,6119</v>
      </c>
      <c r="E9" s="21" t="s">
        <v>12</v>
      </c>
      <c r="F9" s="21" t="s">
        <v>235</v>
      </c>
      <c r="G9" s="22" t="s">
        <v>430</v>
      </c>
      <c r="H9" s="20" t="s">
        <v>430</v>
      </c>
      <c r="I9" s="20" t="s">
        <v>501</v>
      </c>
      <c r="J9" s="22"/>
      <c r="K9" s="20" t="s">
        <v>386</v>
      </c>
      <c r="L9" s="22" t="s">
        <v>383</v>
      </c>
      <c r="M9" s="22" t="s">
        <v>383</v>
      </c>
      <c r="N9" s="22"/>
      <c r="O9" s="20" t="s">
        <v>994</v>
      </c>
      <c r="P9" s="22" t="s">
        <v>514</v>
      </c>
      <c r="Q9" s="20" t="s">
        <v>514</v>
      </c>
      <c r="R9" s="22"/>
      <c r="S9" s="23" t="str">
        <f aca="false">"600,0"</f>
        <v>600,0</v>
      </c>
      <c r="T9" s="23" t="str">
        <f aca="false">"367,1100"</f>
        <v>367,1100</v>
      </c>
      <c r="U9" s="23"/>
    </row>
    <row r="10" customFormat="false" ht="13.2" hidden="false" customHeight="false" outlineLevel="0" collapsed="false">
      <c r="A10" s="24" t="s">
        <v>1262</v>
      </c>
      <c r="B10" s="25" t="s">
        <v>1263</v>
      </c>
      <c r="C10" s="25" t="s">
        <v>1264</v>
      </c>
      <c r="D10" s="25" t="str">
        <f aca="false">"0,6126"</f>
        <v>0,6126</v>
      </c>
      <c r="E10" s="26" t="s">
        <v>12</v>
      </c>
      <c r="F10" s="26" t="s">
        <v>29</v>
      </c>
      <c r="G10" s="25" t="s">
        <v>501</v>
      </c>
      <c r="H10" s="27" t="s">
        <v>360</v>
      </c>
      <c r="I10" s="27" t="s">
        <v>360</v>
      </c>
      <c r="J10" s="27"/>
      <c r="K10" s="27" t="s">
        <v>349</v>
      </c>
      <c r="L10" s="27" t="s">
        <v>349</v>
      </c>
      <c r="M10" s="27" t="s">
        <v>349</v>
      </c>
      <c r="N10" s="27"/>
      <c r="O10" s="27" t="s">
        <v>514</v>
      </c>
      <c r="P10" s="27" t="s">
        <v>514</v>
      </c>
      <c r="Q10" s="27" t="s">
        <v>514</v>
      </c>
      <c r="R10" s="27"/>
      <c r="S10" s="28" t="str">
        <f aca="false">"0.00"</f>
        <v>0.00</v>
      </c>
      <c r="T10" s="28" t="str">
        <f aca="false">"0,0000"</f>
        <v>0,0000</v>
      </c>
      <c r="U10" s="28"/>
    </row>
    <row r="12" customFormat="false" ht="15.6" hidden="false" customHeight="false" outlineLevel="0" collapsed="false">
      <c r="A12" s="18" t="s">
        <v>38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customFormat="false" ht="13.2" hidden="false" customHeight="false" outlineLevel="0" collapsed="false">
      <c r="A13" s="19" t="s">
        <v>1265</v>
      </c>
      <c r="B13" s="20" t="s">
        <v>1266</v>
      </c>
      <c r="C13" s="20" t="s">
        <v>1267</v>
      </c>
      <c r="D13" s="20" t="str">
        <f aca="false">"0,5488"</f>
        <v>0,5488</v>
      </c>
      <c r="E13" s="21" t="s">
        <v>12</v>
      </c>
      <c r="F13" s="21" t="s">
        <v>1268</v>
      </c>
      <c r="G13" s="20" t="s">
        <v>42</v>
      </c>
      <c r="H13" s="20" t="s">
        <v>1269</v>
      </c>
      <c r="I13" s="22" t="s">
        <v>1270</v>
      </c>
      <c r="J13" s="22"/>
      <c r="K13" s="20" t="s">
        <v>354</v>
      </c>
      <c r="L13" s="20" t="s">
        <v>355</v>
      </c>
      <c r="M13" s="22" t="s">
        <v>430</v>
      </c>
      <c r="N13" s="22"/>
      <c r="O13" s="20" t="s">
        <v>15</v>
      </c>
      <c r="P13" s="20" t="s">
        <v>42</v>
      </c>
      <c r="Q13" s="22" t="s">
        <v>434</v>
      </c>
      <c r="R13" s="22"/>
      <c r="S13" s="23" t="str">
        <f aca="false">"810,0"</f>
        <v>810,0</v>
      </c>
      <c r="T13" s="23" t="str">
        <f aca="false">"449,0142"</f>
        <v>449,0142</v>
      </c>
      <c r="U13" s="23"/>
    </row>
    <row r="14" customFormat="false" ht="13.2" hidden="false" customHeight="false" outlineLevel="0" collapsed="false">
      <c r="A14" s="24" t="s">
        <v>519</v>
      </c>
      <c r="B14" s="25" t="s">
        <v>520</v>
      </c>
      <c r="C14" s="25" t="s">
        <v>521</v>
      </c>
      <c r="D14" s="25" t="str">
        <f aca="false">"0,5541"</f>
        <v>0,5541</v>
      </c>
      <c r="E14" s="26" t="s">
        <v>12</v>
      </c>
      <c r="F14" s="26" t="s">
        <v>522</v>
      </c>
      <c r="G14" s="27" t="s">
        <v>360</v>
      </c>
      <c r="H14" s="25" t="s">
        <v>360</v>
      </c>
      <c r="I14" s="25" t="s">
        <v>503</v>
      </c>
      <c r="J14" s="27"/>
      <c r="K14" s="25" t="s">
        <v>408</v>
      </c>
      <c r="L14" s="25" t="s">
        <v>384</v>
      </c>
      <c r="M14" s="25" t="s">
        <v>690</v>
      </c>
      <c r="N14" s="27"/>
      <c r="O14" s="25" t="s">
        <v>502</v>
      </c>
      <c r="P14" s="25" t="s">
        <v>523</v>
      </c>
      <c r="Q14" s="25" t="s">
        <v>524</v>
      </c>
      <c r="R14" s="27"/>
      <c r="S14" s="28" t="str">
        <f aca="false">"682,5"</f>
        <v>682,5</v>
      </c>
      <c r="T14" s="28" t="str">
        <f aca="false">"447,7975"</f>
        <v>447,7975</v>
      </c>
      <c r="U14" s="28"/>
    </row>
    <row r="16" customFormat="false" ht="15" hidden="false" customHeight="false" outlineLevel="0" collapsed="false">
      <c r="E16" s="35" t="s">
        <v>56</v>
      </c>
    </row>
    <row r="17" customFormat="false" ht="15" hidden="false" customHeight="false" outlineLevel="0" collapsed="false">
      <c r="E17" s="35" t="s">
        <v>57</v>
      </c>
    </row>
    <row r="18" customFormat="false" ht="15" hidden="false" customHeight="false" outlineLevel="0" collapsed="false">
      <c r="E18" s="35" t="s">
        <v>58</v>
      </c>
    </row>
    <row r="19" customFormat="false" ht="13.2" hidden="false" customHeight="false" outlineLevel="0" collapsed="false">
      <c r="E19" s="3" t="s">
        <v>59</v>
      </c>
    </row>
    <row r="20" customFormat="false" ht="13.2" hidden="false" customHeight="false" outlineLevel="0" collapsed="false">
      <c r="E20" s="3" t="s">
        <v>60</v>
      </c>
    </row>
    <row r="21" customFormat="false" ht="13.2" hidden="false" customHeight="false" outlineLevel="0" collapsed="false">
      <c r="E21" s="3" t="s">
        <v>61</v>
      </c>
    </row>
    <row r="24" customFormat="false" ht="17.4" hidden="false" customHeight="false" outlineLevel="0" collapsed="false">
      <c r="A24" s="36" t="s">
        <v>62</v>
      </c>
      <c r="B24" s="37"/>
    </row>
    <row r="25" customFormat="false" ht="15.6" hidden="false" customHeight="false" outlineLevel="0" collapsed="false">
      <c r="A25" s="38" t="s">
        <v>63</v>
      </c>
      <c r="B25" s="18"/>
    </row>
    <row r="26" customFormat="false" ht="14.4" hidden="false" customHeight="false" outlineLevel="0" collapsed="false">
      <c r="A26" s="39"/>
      <c r="B26" s="40" t="s">
        <v>64</v>
      </c>
    </row>
    <row r="27" customFormat="false" ht="13.8" hidden="false" customHeight="false" outlineLevel="0" collapsed="false">
      <c r="A27" s="41" t="s">
        <v>1</v>
      </c>
      <c r="B27" s="41" t="s">
        <v>65</v>
      </c>
      <c r="C27" s="41" t="s">
        <v>66</v>
      </c>
      <c r="D27" s="41" t="s">
        <v>962</v>
      </c>
      <c r="E27" s="41" t="s">
        <v>4</v>
      </c>
    </row>
    <row r="28" customFormat="false" ht="13.2" hidden="false" customHeight="false" outlineLevel="0" collapsed="false">
      <c r="A28" s="42" t="s">
        <v>1271</v>
      </c>
      <c r="B28" s="2" t="s">
        <v>64</v>
      </c>
      <c r="C28" s="2" t="s">
        <v>120</v>
      </c>
      <c r="D28" s="2" t="s">
        <v>1272</v>
      </c>
      <c r="E28" s="1" t="s">
        <v>1273</v>
      </c>
    </row>
    <row r="29" customFormat="false" ht="13.2" hidden="false" customHeight="false" outlineLevel="0" collapsed="false">
      <c r="A29" s="42" t="s">
        <v>256</v>
      </c>
      <c r="B29" s="2" t="s">
        <v>64</v>
      </c>
      <c r="C29" s="2" t="s">
        <v>69</v>
      </c>
      <c r="D29" s="2" t="s">
        <v>1274</v>
      </c>
      <c r="E29" s="1" t="s">
        <v>1275</v>
      </c>
    </row>
    <row r="31" customFormat="false" ht="14.4" hidden="false" customHeight="false" outlineLevel="0" collapsed="false">
      <c r="A31" s="39"/>
      <c r="B31" s="40" t="s">
        <v>130</v>
      </c>
    </row>
    <row r="32" customFormat="false" ht="13.8" hidden="false" customHeight="false" outlineLevel="0" collapsed="false">
      <c r="A32" s="41" t="s">
        <v>1</v>
      </c>
      <c r="B32" s="41" t="s">
        <v>65</v>
      </c>
      <c r="C32" s="41" t="s">
        <v>66</v>
      </c>
      <c r="D32" s="41" t="s">
        <v>962</v>
      </c>
      <c r="E32" s="41" t="s">
        <v>4</v>
      </c>
    </row>
    <row r="33" customFormat="false" ht="13.2" hidden="false" customHeight="false" outlineLevel="0" collapsed="false">
      <c r="A33" s="42" t="s">
        <v>1276</v>
      </c>
      <c r="B33" s="2" t="s">
        <v>259</v>
      </c>
      <c r="C33" s="2" t="s">
        <v>72</v>
      </c>
      <c r="D33" s="2" t="s">
        <v>1277</v>
      </c>
      <c r="E33" s="1" t="s">
        <v>1278</v>
      </c>
    </row>
    <row r="34" customFormat="false" ht="13.2" hidden="false" customHeight="false" outlineLevel="0" collapsed="false">
      <c r="A34" s="42" t="s">
        <v>548</v>
      </c>
      <c r="B34" s="2" t="s">
        <v>549</v>
      </c>
      <c r="C34" s="2" t="s">
        <v>72</v>
      </c>
      <c r="D34" s="2" t="s">
        <v>1279</v>
      </c>
      <c r="E34" s="1" t="s">
        <v>1280</v>
      </c>
    </row>
  </sheetData>
  <mergeCells count="11">
    <mergeCell ref="A1:R2"/>
    <mergeCell ref="A3:A4"/>
    <mergeCell ref="B3:B4"/>
    <mergeCell ref="C3:C4"/>
    <mergeCell ref="D3:D4"/>
    <mergeCell ref="E3:E4"/>
    <mergeCell ref="F3:F4"/>
    <mergeCell ref="G3:R3"/>
    <mergeCell ref="A5:R5"/>
    <mergeCell ref="A8:R8"/>
    <mergeCell ref="A12:R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4.11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8.66"/>
    <col collapsed="false" customWidth="true" hidden="false" outlineLevel="0" max="9" min="7" style="2" width="5.55"/>
    <col collapsed="false" customWidth="true" hidden="false" outlineLevel="0" max="10" min="10" style="2" width="2.12"/>
    <col collapsed="false" customWidth="true" hidden="false" outlineLevel="0" max="13" min="11" style="2" width="5.55"/>
    <col collapsed="false" customWidth="true" hidden="false" outlineLevel="0" max="14" min="14" style="2" width="2.12"/>
    <col collapsed="false" customWidth="true" hidden="false" outlineLevel="0" max="17" min="15" style="2" width="5.55"/>
    <col collapsed="false" customWidth="true" hidden="false" outlineLevel="0" max="18" min="18" style="2" width="3.22"/>
    <col collapsed="false" customWidth="true" hidden="false" outlineLevel="0" max="19" min="19" style="4" width="8"/>
    <col collapsed="false" customWidth="true" hidden="false" outlineLevel="0" max="20" min="20" style="4" width="10.99"/>
    <col collapsed="false" customWidth="true" hidden="false" outlineLevel="0" max="21" min="21" style="4" width="15.34"/>
    <col collapsed="false" customWidth="false" hidden="false" outlineLevel="0" max="1024" min="22" style="4" width="9.13"/>
  </cols>
  <sheetData>
    <row r="1" customFormat="false" ht="28.95" hidden="false" customHeight="true" outlineLevel="0" collapsed="false">
      <c r="A1" s="5" t="s">
        <v>1281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5" t="s">
        <v>949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  <c r="K4" s="12" t="n">
        <v>5</v>
      </c>
      <c r="L4" s="12" t="n">
        <v>6</v>
      </c>
      <c r="M4" s="12" t="n">
        <v>7</v>
      </c>
      <c r="N4" s="12" t="n">
        <v>8</v>
      </c>
      <c r="O4" s="12" t="n">
        <v>9</v>
      </c>
      <c r="P4" s="12" t="n">
        <v>10</v>
      </c>
      <c r="Q4" s="12" t="n">
        <v>11</v>
      </c>
      <c r="R4" s="12" t="n">
        <v>12</v>
      </c>
    </row>
    <row r="5" s="2" customFormat="true" ht="15.6" hidden="false" customHeight="false" outlineLevel="0" collapsed="false">
      <c r="A5" s="13" t="s">
        <v>371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="2" customFormat="true" ht="13.2" hidden="false" customHeight="false" outlineLevel="0" collapsed="false">
      <c r="A6" s="14" t="s">
        <v>1282</v>
      </c>
      <c r="B6" s="15" t="s">
        <v>1283</v>
      </c>
      <c r="C6" s="15" t="s">
        <v>1284</v>
      </c>
      <c r="D6" s="15" t="str">
        <f aca="false">"1,1790"</f>
        <v>1,1790</v>
      </c>
      <c r="E6" s="16" t="s">
        <v>12</v>
      </c>
      <c r="F6" s="16" t="s">
        <v>1285</v>
      </c>
      <c r="G6" s="15" t="s">
        <v>180</v>
      </c>
      <c r="H6" s="17" t="s">
        <v>630</v>
      </c>
      <c r="I6" s="17" t="s">
        <v>630</v>
      </c>
      <c r="J6" s="17"/>
      <c r="K6" s="17" t="s">
        <v>141</v>
      </c>
      <c r="L6" s="15" t="s">
        <v>141</v>
      </c>
      <c r="M6" s="17" t="s">
        <v>276</v>
      </c>
      <c r="N6" s="17"/>
      <c r="O6" s="15" t="s">
        <v>391</v>
      </c>
      <c r="P6" s="15" t="s">
        <v>331</v>
      </c>
      <c r="Q6" s="15" t="s">
        <v>672</v>
      </c>
      <c r="R6" s="17"/>
      <c r="S6" s="15" t="s">
        <v>1286</v>
      </c>
      <c r="T6" s="15" t="s">
        <v>1287</v>
      </c>
      <c r="U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145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customFormat="false" ht="13.2" hidden="false" customHeight="false" outlineLevel="0" collapsed="false">
      <c r="A9" s="14" t="s">
        <v>1288</v>
      </c>
      <c r="B9" s="15" t="s">
        <v>1289</v>
      </c>
      <c r="C9" s="15" t="s">
        <v>1290</v>
      </c>
      <c r="D9" s="15" t="str">
        <f aca="false">"1,0500"</f>
        <v>1,0500</v>
      </c>
      <c r="E9" s="16" t="s">
        <v>12</v>
      </c>
      <c r="F9" s="16" t="s">
        <v>1291</v>
      </c>
      <c r="G9" s="15" t="s">
        <v>330</v>
      </c>
      <c r="H9" s="15" t="s">
        <v>672</v>
      </c>
      <c r="I9" s="17" t="s">
        <v>408</v>
      </c>
      <c r="J9" s="17"/>
      <c r="K9" s="15" t="s">
        <v>88</v>
      </c>
      <c r="L9" s="15" t="s">
        <v>486</v>
      </c>
      <c r="M9" s="15" t="s">
        <v>108</v>
      </c>
      <c r="N9" s="17"/>
      <c r="O9" s="15" t="s">
        <v>354</v>
      </c>
      <c r="P9" s="15" t="s">
        <v>827</v>
      </c>
      <c r="Q9" s="15" t="s">
        <v>805</v>
      </c>
      <c r="R9" s="17"/>
      <c r="S9" s="29" t="str">
        <f aca="false">"420,0"</f>
        <v>420,0</v>
      </c>
      <c r="T9" s="29" t="str">
        <f aca="false">"441,0000"</f>
        <v>441,0000</v>
      </c>
      <c r="U9" s="29"/>
    </row>
    <row r="11" customFormat="false" ht="15.6" hidden="false" customHeight="false" outlineLevel="0" collapsed="false">
      <c r="A11" s="18" t="s">
        <v>211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customFormat="false" ht="13.2" hidden="false" customHeight="false" outlineLevel="0" collapsed="false">
      <c r="A12" s="14" t="s">
        <v>1292</v>
      </c>
      <c r="B12" s="15" t="s">
        <v>1293</v>
      </c>
      <c r="C12" s="15" t="s">
        <v>969</v>
      </c>
      <c r="D12" s="15" t="str">
        <f aca="false">"0,9876"</f>
        <v>0,9876</v>
      </c>
      <c r="E12" s="16" t="s">
        <v>12</v>
      </c>
      <c r="F12" s="16" t="s">
        <v>1285</v>
      </c>
      <c r="G12" s="15" t="s">
        <v>672</v>
      </c>
      <c r="H12" s="15" t="s">
        <v>408</v>
      </c>
      <c r="I12" s="15" t="s">
        <v>341</v>
      </c>
      <c r="J12" s="17"/>
      <c r="K12" s="15" t="s">
        <v>176</v>
      </c>
      <c r="L12" s="15" t="s">
        <v>629</v>
      </c>
      <c r="M12" s="15" t="s">
        <v>630</v>
      </c>
      <c r="N12" s="17"/>
      <c r="O12" s="15" t="s">
        <v>690</v>
      </c>
      <c r="P12" s="15" t="s">
        <v>413</v>
      </c>
      <c r="Q12" s="17" t="s">
        <v>404</v>
      </c>
      <c r="R12" s="17"/>
      <c r="S12" s="29" t="str">
        <f aca="false">"435,0"</f>
        <v>435,0</v>
      </c>
      <c r="T12" s="29" t="str">
        <f aca="false">"429,6060"</f>
        <v>429,6060</v>
      </c>
      <c r="U12" s="29" t="s">
        <v>1294</v>
      </c>
    </row>
    <row r="14" customFormat="false" ht="15.6" hidden="false" customHeight="false" outlineLevel="0" collapsed="false">
      <c r="A14" s="18" t="s">
        <v>83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customFormat="false" ht="13.2" hidden="false" customHeight="false" outlineLevel="0" collapsed="false">
      <c r="A15" s="14" t="s">
        <v>1295</v>
      </c>
      <c r="B15" s="15" t="s">
        <v>1296</v>
      </c>
      <c r="C15" s="15" t="s">
        <v>1297</v>
      </c>
      <c r="D15" s="15" t="str">
        <f aca="false">"0,7012"</f>
        <v>0,7012</v>
      </c>
      <c r="E15" s="16" t="s">
        <v>12</v>
      </c>
      <c r="F15" s="16" t="s">
        <v>29</v>
      </c>
      <c r="G15" s="15" t="s">
        <v>330</v>
      </c>
      <c r="H15" s="15" t="s">
        <v>398</v>
      </c>
      <c r="I15" s="15" t="s">
        <v>341</v>
      </c>
      <c r="J15" s="17"/>
      <c r="K15" s="17" t="s">
        <v>487</v>
      </c>
      <c r="L15" s="15" t="s">
        <v>647</v>
      </c>
      <c r="M15" s="17" t="s">
        <v>170</v>
      </c>
      <c r="N15" s="17"/>
      <c r="O15" s="15" t="s">
        <v>386</v>
      </c>
      <c r="P15" s="15" t="s">
        <v>341</v>
      </c>
      <c r="Q15" s="15" t="s">
        <v>349</v>
      </c>
      <c r="R15" s="17"/>
      <c r="S15" s="29" t="str">
        <f aca="false">"405,0"</f>
        <v>405,0</v>
      </c>
      <c r="T15" s="29" t="str">
        <f aca="false">"283,9658"</f>
        <v>283,9658</v>
      </c>
      <c r="U15" s="29"/>
    </row>
    <row r="17" customFormat="false" ht="15.6" hidden="false" customHeight="false" outlineLevel="0" collapsed="false">
      <c r="A17" s="18" t="s">
        <v>19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customFormat="false" ht="13.2" hidden="false" customHeight="false" outlineLevel="0" collapsed="false">
      <c r="A18" s="14" t="s">
        <v>1298</v>
      </c>
      <c r="B18" s="15" t="s">
        <v>1299</v>
      </c>
      <c r="C18" s="15" t="s">
        <v>1300</v>
      </c>
      <c r="D18" s="15" t="str">
        <f aca="false">"0,5907"</f>
        <v>0,5907</v>
      </c>
      <c r="E18" s="16" t="s">
        <v>12</v>
      </c>
      <c r="F18" s="16" t="s">
        <v>29</v>
      </c>
      <c r="G18" s="15" t="s">
        <v>430</v>
      </c>
      <c r="H18" s="15" t="s">
        <v>994</v>
      </c>
      <c r="I18" s="15" t="s">
        <v>559</v>
      </c>
      <c r="J18" s="17"/>
      <c r="K18" s="15" t="s">
        <v>341</v>
      </c>
      <c r="L18" s="17" t="s">
        <v>349</v>
      </c>
      <c r="M18" s="15" t="s">
        <v>349</v>
      </c>
      <c r="N18" s="17"/>
      <c r="O18" s="15" t="s">
        <v>360</v>
      </c>
      <c r="P18" s="15" t="s">
        <v>514</v>
      </c>
      <c r="Q18" s="15" t="s">
        <v>523</v>
      </c>
      <c r="R18" s="17"/>
      <c r="S18" s="29" t="str">
        <f aca="false">"627,5"</f>
        <v>627,5</v>
      </c>
      <c r="T18" s="29" t="str">
        <f aca="false">"370,6329"</f>
        <v>370,6329</v>
      </c>
      <c r="U18" s="29"/>
    </row>
    <row r="20" customFormat="false" ht="15.6" hidden="false" customHeight="false" outlineLevel="0" collapsed="false">
      <c r="A20" s="18" t="s">
        <v>38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customFormat="false" ht="13.2" hidden="false" customHeight="false" outlineLevel="0" collapsed="false">
      <c r="A21" s="14" t="s">
        <v>1301</v>
      </c>
      <c r="B21" s="15" t="s">
        <v>1302</v>
      </c>
      <c r="C21" s="15" t="s">
        <v>1303</v>
      </c>
      <c r="D21" s="15" t="str">
        <f aca="false">"0,5565"</f>
        <v>0,5565</v>
      </c>
      <c r="E21" s="16" t="s">
        <v>426</v>
      </c>
      <c r="F21" s="16" t="s">
        <v>1304</v>
      </c>
      <c r="G21" s="15" t="s">
        <v>422</v>
      </c>
      <c r="H21" s="15" t="s">
        <v>1305</v>
      </c>
      <c r="I21" s="15" t="s">
        <v>514</v>
      </c>
      <c r="J21" s="17"/>
      <c r="K21" s="15" t="s">
        <v>349</v>
      </c>
      <c r="L21" s="15" t="s">
        <v>402</v>
      </c>
      <c r="M21" s="15" t="s">
        <v>728</v>
      </c>
      <c r="N21" s="17"/>
      <c r="O21" s="15" t="s">
        <v>501</v>
      </c>
      <c r="P21" s="15" t="s">
        <v>514</v>
      </c>
      <c r="Q21" s="15" t="s">
        <v>1019</v>
      </c>
      <c r="R21" s="17"/>
      <c r="S21" s="29" t="str">
        <f aca="false">"675,0"</f>
        <v>675,0</v>
      </c>
      <c r="T21" s="29" t="str">
        <f aca="false">"375,6038"</f>
        <v>375,6038</v>
      </c>
      <c r="U21" s="29"/>
    </row>
    <row r="23" customFormat="false" ht="15" hidden="false" customHeight="false" outlineLevel="0" collapsed="false">
      <c r="E23" s="35" t="s">
        <v>56</v>
      </c>
    </row>
    <row r="24" customFormat="false" ht="15" hidden="false" customHeight="false" outlineLevel="0" collapsed="false">
      <c r="E24" s="35" t="s">
        <v>57</v>
      </c>
    </row>
    <row r="25" customFormat="false" ht="15" hidden="false" customHeight="false" outlineLevel="0" collapsed="false">
      <c r="E25" s="35" t="s">
        <v>58</v>
      </c>
    </row>
    <row r="26" customFormat="false" ht="13.2" hidden="false" customHeight="false" outlineLevel="0" collapsed="false">
      <c r="E26" s="3" t="s">
        <v>59</v>
      </c>
    </row>
    <row r="27" customFormat="false" ht="13.2" hidden="false" customHeight="false" outlineLevel="0" collapsed="false">
      <c r="E27" s="3" t="s">
        <v>60</v>
      </c>
    </row>
    <row r="28" customFormat="false" ht="13.2" hidden="false" customHeight="false" outlineLevel="0" collapsed="false">
      <c r="E28" s="3" t="s">
        <v>61</v>
      </c>
    </row>
    <row r="31" customFormat="false" ht="17.4" hidden="false" customHeight="false" outlineLevel="0" collapsed="false">
      <c r="A31" s="36" t="s">
        <v>62</v>
      </c>
      <c r="B31" s="37"/>
    </row>
    <row r="32" customFormat="false" ht="15.6" hidden="false" customHeight="false" outlineLevel="0" collapsed="false">
      <c r="A32" s="38" t="s">
        <v>182</v>
      </c>
      <c r="B32" s="18"/>
    </row>
    <row r="33" customFormat="false" ht="14.4" hidden="false" customHeight="false" outlineLevel="0" collapsed="false">
      <c r="A33" s="39"/>
      <c r="B33" s="40" t="s">
        <v>64</v>
      </c>
    </row>
    <row r="34" customFormat="false" ht="13.8" hidden="false" customHeight="false" outlineLevel="0" collapsed="false">
      <c r="A34" s="41" t="s">
        <v>1</v>
      </c>
      <c r="B34" s="41" t="s">
        <v>65</v>
      </c>
      <c r="C34" s="41" t="s">
        <v>66</v>
      </c>
      <c r="D34" s="41" t="s">
        <v>962</v>
      </c>
      <c r="E34" s="41" t="s">
        <v>4</v>
      </c>
    </row>
    <row r="35" customFormat="false" ht="13.2" hidden="false" customHeight="false" outlineLevel="0" collapsed="false">
      <c r="A35" s="42" t="s">
        <v>1306</v>
      </c>
      <c r="B35" s="2" t="s">
        <v>64</v>
      </c>
      <c r="C35" s="2" t="s">
        <v>188</v>
      </c>
      <c r="D35" s="2" t="s">
        <v>1307</v>
      </c>
      <c r="E35" s="1" t="s">
        <v>1308</v>
      </c>
    </row>
    <row r="36" customFormat="false" ht="13.2" hidden="false" customHeight="false" outlineLevel="0" collapsed="false">
      <c r="A36" s="42" t="s">
        <v>1309</v>
      </c>
      <c r="B36" s="2" t="s">
        <v>64</v>
      </c>
      <c r="C36" s="2" t="s">
        <v>250</v>
      </c>
      <c r="D36" s="2" t="s">
        <v>1164</v>
      </c>
      <c r="E36" s="1" t="s">
        <v>1310</v>
      </c>
    </row>
    <row r="37" customFormat="false" ht="13.2" hidden="false" customHeight="false" outlineLevel="0" collapsed="false">
      <c r="A37" s="42" t="s">
        <v>1311</v>
      </c>
      <c r="B37" s="2" t="s">
        <v>64</v>
      </c>
      <c r="C37" s="2" t="s">
        <v>446</v>
      </c>
      <c r="D37" s="2" t="s">
        <v>1312</v>
      </c>
      <c r="E37" s="1" t="s">
        <v>1313</v>
      </c>
    </row>
    <row r="40" customFormat="false" ht="15.6" hidden="false" customHeight="false" outlineLevel="0" collapsed="false">
      <c r="A40" s="38" t="s">
        <v>63</v>
      </c>
      <c r="B40" s="18"/>
    </row>
    <row r="41" customFormat="false" ht="14.4" hidden="false" customHeight="false" outlineLevel="0" collapsed="false">
      <c r="A41" s="39"/>
      <c r="B41" s="40" t="s">
        <v>114</v>
      </c>
    </row>
    <row r="42" customFormat="false" ht="13.8" hidden="false" customHeight="false" outlineLevel="0" collapsed="false">
      <c r="A42" s="41" t="s">
        <v>1</v>
      </c>
      <c r="B42" s="41" t="s">
        <v>65</v>
      </c>
      <c r="C42" s="41" t="s">
        <v>66</v>
      </c>
      <c r="D42" s="41" t="s">
        <v>962</v>
      </c>
      <c r="E42" s="41" t="s">
        <v>4</v>
      </c>
    </row>
    <row r="43" customFormat="false" ht="13.2" hidden="false" customHeight="false" outlineLevel="0" collapsed="false">
      <c r="A43" s="42" t="s">
        <v>1314</v>
      </c>
      <c r="B43" s="2" t="s">
        <v>307</v>
      </c>
      <c r="C43" s="2" t="s">
        <v>124</v>
      </c>
      <c r="D43" s="2" t="s">
        <v>1315</v>
      </c>
      <c r="E43" s="1" t="s">
        <v>1316</v>
      </c>
    </row>
    <row r="45" customFormat="false" ht="14.4" hidden="false" customHeight="false" outlineLevel="0" collapsed="false">
      <c r="A45" s="39"/>
      <c r="B45" s="40" t="s">
        <v>64</v>
      </c>
    </row>
    <row r="46" customFormat="false" ht="13.8" hidden="false" customHeight="false" outlineLevel="0" collapsed="false">
      <c r="A46" s="41" t="s">
        <v>1</v>
      </c>
      <c r="B46" s="41" t="s">
        <v>65</v>
      </c>
      <c r="C46" s="41" t="s">
        <v>66</v>
      </c>
      <c r="D46" s="41" t="s">
        <v>962</v>
      </c>
      <c r="E46" s="41" t="s">
        <v>4</v>
      </c>
    </row>
    <row r="47" customFormat="false" ht="13.2" hidden="false" customHeight="false" outlineLevel="0" collapsed="false">
      <c r="A47" s="42" t="s">
        <v>1317</v>
      </c>
      <c r="B47" s="2" t="s">
        <v>64</v>
      </c>
      <c r="C47" s="2" t="s">
        <v>72</v>
      </c>
      <c r="D47" s="2" t="s">
        <v>1052</v>
      </c>
      <c r="E47" s="1" t="s">
        <v>1318</v>
      </c>
    </row>
    <row r="48" customFormat="false" ht="13.2" hidden="false" customHeight="false" outlineLevel="0" collapsed="false">
      <c r="A48" s="42" t="s">
        <v>1319</v>
      </c>
      <c r="B48" s="2" t="s">
        <v>64</v>
      </c>
      <c r="C48" s="2" t="s">
        <v>77</v>
      </c>
      <c r="D48" s="2" t="s">
        <v>1320</v>
      </c>
      <c r="E48" s="1" t="s">
        <v>1321</v>
      </c>
    </row>
  </sheetData>
  <mergeCells count="14">
    <mergeCell ref="A1:R2"/>
    <mergeCell ref="A3:A4"/>
    <mergeCell ref="B3:B4"/>
    <mergeCell ref="C3:C4"/>
    <mergeCell ref="D3:D4"/>
    <mergeCell ref="E3:E4"/>
    <mergeCell ref="F3:F4"/>
    <mergeCell ref="G3:R3"/>
    <mergeCell ref="A5:R5"/>
    <mergeCell ref="A8:R8"/>
    <mergeCell ref="A11:R11"/>
    <mergeCell ref="A14:R14"/>
    <mergeCell ref="A17:R17"/>
    <mergeCell ref="A20:R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10" min="7" style="2" width="4.56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1322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6" t="s">
        <v>1323</v>
      </c>
      <c r="H3" s="46"/>
      <c r="I3" s="46"/>
      <c r="J3" s="46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</row>
    <row r="5" s="2" customFormat="true" ht="15.6" hidden="false" customHeight="false" outlineLevel="0" collapsed="false">
      <c r="A5" s="13" t="s">
        <v>211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212</v>
      </c>
      <c r="B6" s="15" t="s">
        <v>213</v>
      </c>
      <c r="C6" s="15" t="s">
        <v>214</v>
      </c>
      <c r="D6" s="15" t="str">
        <f aca="false">"1,0365"</f>
        <v>1,0365</v>
      </c>
      <c r="E6" s="16" t="s">
        <v>12</v>
      </c>
      <c r="F6" s="16" t="s">
        <v>215</v>
      </c>
      <c r="G6" s="15" t="s">
        <v>272</v>
      </c>
      <c r="H6" s="15" t="s">
        <v>141</v>
      </c>
      <c r="I6" s="15" t="s">
        <v>276</v>
      </c>
      <c r="J6" s="15" t="s">
        <v>285</v>
      </c>
      <c r="K6" s="15" t="s">
        <v>1324</v>
      </c>
      <c r="L6" s="15" t="s">
        <v>1325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38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4" t="s">
        <v>439</v>
      </c>
      <c r="B9" s="15" t="s">
        <v>1326</v>
      </c>
      <c r="C9" s="15" t="s">
        <v>441</v>
      </c>
      <c r="D9" s="15" t="str">
        <f aca="false">"0,5509"</f>
        <v>0,5509</v>
      </c>
      <c r="E9" s="16" t="s">
        <v>12</v>
      </c>
      <c r="F9" s="16" t="s">
        <v>29</v>
      </c>
      <c r="G9" s="15" t="s">
        <v>155</v>
      </c>
      <c r="H9" s="15" t="s">
        <v>486</v>
      </c>
      <c r="I9" s="17" t="s">
        <v>108</v>
      </c>
      <c r="J9" s="17"/>
      <c r="K9" s="29" t="str">
        <f aca="false">"80,0"</f>
        <v>80,0</v>
      </c>
      <c r="L9" s="29" t="str">
        <f aca="false">"65,2325"</f>
        <v>65,2325</v>
      </c>
      <c r="M9" s="29"/>
    </row>
    <row r="11" customFormat="false" ht="15" hidden="false" customHeight="false" outlineLevel="0" collapsed="false">
      <c r="E11" s="35" t="s">
        <v>56</v>
      </c>
    </row>
    <row r="12" customFormat="false" ht="15" hidden="false" customHeight="false" outlineLevel="0" collapsed="false">
      <c r="E12" s="35" t="s">
        <v>57</v>
      </c>
    </row>
    <row r="13" customFormat="false" ht="15" hidden="false" customHeight="false" outlineLevel="0" collapsed="false">
      <c r="E13" s="35" t="s">
        <v>58</v>
      </c>
    </row>
    <row r="14" customFormat="false" ht="13.2" hidden="false" customHeight="false" outlineLevel="0" collapsed="false">
      <c r="E14" s="3" t="s">
        <v>59</v>
      </c>
    </row>
    <row r="15" customFormat="false" ht="13.2" hidden="false" customHeight="false" outlineLevel="0" collapsed="false">
      <c r="E15" s="3" t="s">
        <v>60</v>
      </c>
    </row>
    <row r="16" customFormat="false" ht="13.2" hidden="false" customHeight="false" outlineLevel="0" collapsed="false">
      <c r="E16" s="3" t="s">
        <v>61</v>
      </c>
    </row>
    <row r="19" customFormat="false" ht="17.4" hidden="false" customHeight="false" outlineLevel="0" collapsed="false">
      <c r="A19" s="36" t="s">
        <v>62</v>
      </c>
      <c r="B19" s="37"/>
    </row>
    <row r="20" customFormat="false" ht="15.6" hidden="false" customHeight="false" outlineLevel="0" collapsed="false">
      <c r="A20" s="38" t="s">
        <v>182</v>
      </c>
      <c r="B20" s="18"/>
    </row>
    <row r="21" customFormat="false" ht="14.4" hidden="false" customHeight="false" outlineLevel="0" collapsed="false">
      <c r="A21" s="39"/>
      <c r="B21" s="40" t="s">
        <v>64</v>
      </c>
    </row>
    <row r="22" customFormat="false" ht="13.8" hidden="false" customHeight="false" outlineLevel="0" collapsed="false">
      <c r="A22" s="41" t="s">
        <v>1</v>
      </c>
      <c r="B22" s="41" t="s">
        <v>65</v>
      </c>
      <c r="C22" s="41" t="s">
        <v>66</v>
      </c>
      <c r="D22" s="41" t="s">
        <v>67</v>
      </c>
      <c r="E22" s="41" t="s">
        <v>4</v>
      </c>
    </row>
    <row r="23" customFormat="false" ht="13.2" hidden="false" customHeight="false" outlineLevel="0" collapsed="false">
      <c r="A23" s="42" t="s">
        <v>249</v>
      </c>
      <c r="B23" s="2" t="s">
        <v>64</v>
      </c>
      <c r="C23" s="2" t="s">
        <v>250</v>
      </c>
      <c r="D23" s="2" t="s">
        <v>285</v>
      </c>
      <c r="E23" s="1" t="s">
        <v>1327</v>
      </c>
    </row>
    <row r="26" customFormat="false" ht="15.6" hidden="false" customHeight="false" outlineLevel="0" collapsed="false">
      <c r="A26" s="38" t="s">
        <v>63</v>
      </c>
      <c r="B26" s="18"/>
    </row>
    <row r="27" customFormat="false" ht="14.4" hidden="false" customHeight="false" outlineLevel="0" collapsed="false">
      <c r="A27" s="39"/>
      <c r="B27" s="40" t="s">
        <v>1328</v>
      </c>
    </row>
    <row r="28" customFormat="false" ht="13.8" hidden="false" customHeight="false" outlineLevel="0" collapsed="false">
      <c r="A28" s="41" t="s">
        <v>1</v>
      </c>
      <c r="B28" s="41" t="s">
        <v>65</v>
      </c>
      <c r="C28" s="41" t="s">
        <v>66</v>
      </c>
      <c r="D28" s="41" t="s">
        <v>67</v>
      </c>
      <c r="E28" s="41" t="s">
        <v>4</v>
      </c>
    </row>
    <row r="29" customFormat="false" ht="13.2" hidden="false" customHeight="false" outlineLevel="0" collapsed="false">
      <c r="A29" s="42" t="s">
        <v>471</v>
      </c>
      <c r="B29" s="2" t="s">
        <v>1329</v>
      </c>
      <c r="C29" s="2" t="s">
        <v>72</v>
      </c>
      <c r="D29" s="2" t="s">
        <v>486</v>
      </c>
      <c r="E29" s="1" t="s">
        <v>1330</v>
      </c>
    </row>
  </sheetData>
  <mergeCells count="10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9" min="7" style="2" width="4.56"/>
    <col collapsed="false" customWidth="true" hidden="false" outlineLevel="0" max="10" min="10" style="2" width="2.12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1331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6" t="s">
        <v>1323</v>
      </c>
      <c r="H3" s="46"/>
      <c r="I3" s="46"/>
      <c r="J3" s="46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</row>
    <row r="5" s="2" customFormat="true" ht="15.6" hidden="false" customHeight="false" outlineLevel="0" collapsed="false">
      <c r="A5" s="13" t="s">
        <v>38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439</v>
      </c>
      <c r="B6" s="15" t="s">
        <v>1326</v>
      </c>
      <c r="C6" s="15" t="s">
        <v>441</v>
      </c>
      <c r="D6" s="15" t="str">
        <f aca="false">"0,5509"</f>
        <v>0,5509</v>
      </c>
      <c r="E6" s="16" t="s">
        <v>12</v>
      </c>
      <c r="F6" s="16" t="s">
        <v>29</v>
      </c>
      <c r="G6" s="15" t="s">
        <v>1332</v>
      </c>
      <c r="H6" s="15" t="s">
        <v>1333</v>
      </c>
      <c r="I6" s="17" t="s">
        <v>1334</v>
      </c>
      <c r="J6" s="17"/>
      <c r="K6" s="15" t="s">
        <v>1335</v>
      </c>
      <c r="L6" s="15" t="s">
        <v>1336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" hidden="false" customHeight="false" outlineLevel="0" collapsed="false">
      <c r="E8" s="35" t="s">
        <v>56</v>
      </c>
    </row>
    <row r="9" customFormat="false" ht="15" hidden="false" customHeight="false" outlineLevel="0" collapsed="false">
      <c r="E9" s="35" t="s">
        <v>57</v>
      </c>
    </row>
    <row r="10" customFormat="false" ht="15" hidden="false" customHeight="false" outlineLevel="0" collapsed="false">
      <c r="E10" s="35" t="s">
        <v>58</v>
      </c>
    </row>
    <row r="11" customFormat="false" ht="13.2" hidden="false" customHeight="false" outlineLevel="0" collapsed="false">
      <c r="E11" s="3" t="s">
        <v>59</v>
      </c>
    </row>
    <row r="12" customFormat="false" ht="13.2" hidden="false" customHeight="false" outlineLevel="0" collapsed="false">
      <c r="E12" s="3" t="s">
        <v>60</v>
      </c>
    </row>
    <row r="13" customFormat="false" ht="13.2" hidden="false" customHeight="false" outlineLevel="0" collapsed="false">
      <c r="E13" s="3" t="s">
        <v>61</v>
      </c>
    </row>
    <row r="16" customFormat="false" ht="17.4" hidden="false" customHeight="false" outlineLevel="0" collapsed="false">
      <c r="A16" s="36" t="s">
        <v>62</v>
      </c>
      <c r="B16" s="37"/>
    </row>
    <row r="17" customFormat="false" ht="15.6" hidden="false" customHeight="false" outlineLevel="0" collapsed="false">
      <c r="A17" s="38" t="s">
        <v>63</v>
      </c>
      <c r="B17" s="18"/>
    </row>
    <row r="18" customFormat="false" ht="14.4" hidden="false" customHeight="false" outlineLevel="0" collapsed="false">
      <c r="A18" s="39"/>
      <c r="B18" s="40" t="s">
        <v>1328</v>
      </c>
    </row>
    <row r="19" customFormat="false" ht="13.8" hidden="false" customHeight="false" outlineLevel="0" collapsed="false">
      <c r="A19" s="41" t="s">
        <v>1</v>
      </c>
      <c r="B19" s="41" t="s">
        <v>65</v>
      </c>
      <c r="C19" s="41" t="s">
        <v>66</v>
      </c>
      <c r="D19" s="41" t="s">
        <v>67</v>
      </c>
      <c r="E19" s="41" t="s">
        <v>4</v>
      </c>
    </row>
    <row r="20" customFormat="false" ht="13.2" hidden="false" customHeight="false" outlineLevel="0" collapsed="false">
      <c r="A20" s="42" t="s">
        <v>471</v>
      </c>
      <c r="B20" s="2" t="s">
        <v>1329</v>
      </c>
      <c r="C20" s="2" t="s">
        <v>72</v>
      </c>
      <c r="D20" s="2" t="s">
        <v>1333</v>
      </c>
      <c r="E20" s="1" t="s">
        <v>1337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10" min="7" style="2" width="5.55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true" hidden="false" outlineLevel="0" max="13" min="13" style="4" width="17.21"/>
    <col collapsed="false" customWidth="false" hidden="false" outlineLevel="0" max="1024" min="14" style="4" width="9.13"/>
  </cols>
  <sheetData>
    <row r="1" customFormat="false" ht="28.95" hidden="false" customHeight="true" outlineLevel="0" collapsed="false">
      <c r="A1" s="5" t="s">
        <v>1338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6" t="s">
        <v>1323</v>
      </c>
      <c r="H3" s="46"/>
      <c r="I3" s="46"/>
      <c r="J3" s="46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</row>
    <row r="5" s="2" customFormat="true" ht="15.6" hidden="false" customHeight="false" outlineLevel="0" collapsed="false">
      <c r="A5" s="13" t="s">
        <v>211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212</v>
      </c>
      <c r="B6" s="15" t="s">
        <v>213</v>
      </c>
      <c r="C6" s="15" t="s">
        <v>214</v>
      </c>
      <c r="D6" s="15" t="str">
        <f aca="false">"1,0365"</f>
        <v>1,0365</v>
      </c>
      <c r="E6" s="16" t="s">
        <v>12</v>
      </c>
      <c r="F6" s="16" t="s">
        <v>215</v>
      </c>
      <c r="G6" s="15" t="s">
        <v>486</v>
      </c>
      <c r="H6" s="15" t="s">
        <v>108</v>
      </c>
      <c r="I6" s="15" t="s">
        <v>487</v>
      </c>
      <c r="J6" s="15" t="s">
        <v>592</v>
      </c>
      <c r="K6" s="15" t="s">
        <v>593</v>
      </c>
      <c r="L6" s="15" t="s">
        <v>1339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1340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4" t="s">
        <v>221</v>
      </c>
      <c r="B9" s="15" t="s">
        <v>222</v>
      </c>
      <c r="C9" s="15" t="s">
        <v>223</v>
      </c>
      <c r="D9" s="15" t="str">
        <f aca="false">"0,9439"</f>
        <v>0,9439</v>
      </c>
      <c r="E9" s="16" t="s">
        <v>12</v>
      </c>
      <c r="F9" s="16" t="s">
        <v>224</v>
      </c>
      <c r="G9" s="15" t="s">
        <v>141</v>
      </c>
      <c r="H9" s="15" t="s">
        <v>149</v>
      </c>
      <c r="I9" s="15" t="s">
        <v>230</v>
      </c>
      <c r="J9" s="15" t="s">
        <v>236</v>
      </c>
      <c r="K9" s="29" t="str">
        <f aca="false">"65,0"</f>
        <v>65,0</v>
      </c>
      <c r="L9" s="29" t="str">
        <f aca="false">"61,3535"</f>
        <v>61,3535</v>
      </c>
      <c r="M9" s="29"/>
    </row>
    <row r="11" customFormat="false" ht="15.6" hidden="false" customHeight="false" outlineLevel="0" collapsed="false">
      <c r="A11" s="18" t="s">
        <v>1341</v>
      </c>
      <c r="B11" s="18"/>
      <c r="C11" s="18"/>
      <c r="D11" s="18"/>
      <c r="E11" s="18"/>
      <c r="F11" s="18"/>
      <c r="G11" s="18"/>
      <c r="H11" s="18"/>
      <c r="I11" s="18"/>
      <c r="J11" s="18"/>
    </row>
    <row r="12" customFormat="false" ht="13.2" hidden="false" customHeight="false" outlineLevel="0" collapsed="false">
      <c r="A12" s="14" t="s">
        <v>1342</v>
      </c>
      <c r="B12" s="15" t="s">
        <v>1343</v>
      </c>
      <c r="C12" s="15" t="s">
        <v>1344</v>
      </c>
      <c r="D12" s="15" t="str">
        <f aca="false">"0,8148"</f>
        <v>0,8148</v>
      </c>
      <c r="E12" s="16" t="s">
        <v>12</v>
      </c>
      <c r="F12" s="16" t="s">
        <v>1345</v>
      </c>
      <c r="G12" s="15" t="s">
        <v>141</v>
      </c>
      <c r="H12" s="15" t="s">
        <v>230</v>
      </c>
      <c r="I12" s="15" t="s">
        <v>155</v>
      </c>
      <c r="J12" s="15" t="s">
        <v>180</v>
      </c>
      <c r="K12" s="29" t="str">
        <f aca="false">"105,0"</f>
        <v>105,0</v>
      </c>
      <c r="L12" s="29" t="str">
        <f aca="false">"99,6765"</f>
        <v>99,6765</v>
      </c>
      <c r="M12" s="29" t="s">
        <v>1346</v>
      </c>
    </row>
    <row r="14" customFormat="false" ht="15.6" hidden="false" customHeight="false" outlineLevel="0" collapsed="false">
      <c r="A14" s="18" t="s">
        <v>8</v>
      </c>
      <c r="B14" s="18"/>
      <c r="C14" s="18"/>
      <c r="D14" s="18"/>
      <c r="E14" s="18"/>
      <c r="F14" s="18"/>
      <c r="G14" s="18"/>
      <c r="H14" s="18"/>
      <c r="I14" s="18"/>
      <c r="J14" s="18"/>
    </row>
    <row r="15" customFormat="false" ht="13.2" hidden="false" customHeight="false" outlineLevel="0" collapsed="false">
      <c r="A15" s="14" t="s">
        <v>288</v>
      </c>
      <c r="B15" s="15" t="s">
        <v>289</v>
      </c>
      <c r="C15" s="15" t="s">
        <v>290</v>
      </c>
      <c r="D15" s="15" t="str">
        <f aca="false">"0,6482"</f>
        <v>0,6482</v>
      </c>
      <c r="E15" s="16" t="s">
        <v>12</v>
      </c>
      <c r="F15" s="16" t="s">
        <v>29</v>
      </c>
      <c r="G15" s="15" t="s">
        <v>330</v>
      </c>
      <c r="H15" s="15" t="s">
        <v>739</v>
      </c>
      <c r="I15" s="17" t="s">
        <v>331</v>
      </c>
      <c r="J15" s="17"/>
      <c r="K15" s="29" t="str">
        <f aca="false">"132,5"</f>
        <v>132,5</v>
      </c>
      <c r="L15" s="29" t="str">
        <f aca="false">"85,8865"</f>
        <v>85,8865</v>
      </c>
      <c r="M15" s="29"/>
    </row>
    <row r="17" customFormat="false" ht="15.6" hidden="false" customHeight="false" outlineLevel="0" collapsed="false">
      <c r="A17" s="18" t="s">
        <v>32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3.2" hidden="false" customHeight="false" outlineLevel="0" collapsed="false">
      <c r="A18" s="14" t="s">
        <v>237</v>
      </c>
      <c r="B18" s="15" t="s">
        <v>238</v>
      </c>
      <c r="C18" s="15" t="s">
        <v>239</v>
      </c>
      <c r="D18" s="15" t="str">
        <f aca="false">"0,5648"</f>
        <v>0,5648</v>
      </c>
      <c r="E18" s="16" t="s">
        <v>12</v>
      </c>
      <c r="F18" s="16" t="s">
        <v>215</v>
      </c>
      <c r="G18" s="15" t="s">
        <v>341</v>
      </c>
      <c r="H18" s="15" t="s">
        <v>349</v>
      </c>
      <c r="I18" s="15" t="s">
        <v>402</v>
      </c>
      <c r="J18" s="15" t="s">
        <v>728</v>
      </c>
      <c r="K18" s="29" t="str">
        <f aca="false">"175,0"</f>
        <v>175,0</v>
      </c>
      <c r="L18" s="29" t="str">
        <f aca="false">"98,8487"</f>
        <v>98,8487</v>
      </c>
      <c r="M18" s="29"/>
    </row>
    <row r="20" customFormat="false" ht="15" hidden="false" customHeight="false" outlineLevel="0" collapsed="false">
      <c r="E20" s="35" t="s">
        <v>56</v>
      </c>
    </row>
    <row r="21" customFormat="false" ht="15" hidden="false" customHeight="false" outlineLevel="0" collapsed="false">
      <c r="E21" s="35" t="s">
        <v>57</v>
      </c>
    </row>
    <row r="22" customFormat="false" ht="15" hidden="false" customHeight="false" outlineLevel="0" collapsed="false">
      <c r="E22" s="35" t="s">
        <v>58</v>
      </c>
    </row>
    <row r="23" customFormat="false" ht="13.2" hidden="false" customHeight="false" outlineLevel="0" collapsed="false">
      <c r="E23" s="3" t="s">
        <v>59</v>
      </c>
    </row>
    <row r="24" customFormat="false" ht="13.2" hidden="false" customHeight="false" outlineLevel="0" collapsed="false">
      <c r="E24" s="3" t="s">
        <v>60</v>
      </c>
    </row>
    <row r="25" customFormat="false" ht="13.2" hidden="false" customHeight="false" outlineLevel="0" collapsed="false">
      <c r="E25" s="3" t="s">
        <v>61</v>
      </c>
    </row>
    <row r="28" customFormat="false" ht="17.4" hidden="false" customHeight="false" outlineLevel="0" collapsed="false">
      <c r="A28" s="36" t="s">
        <v>62</v>
      </c>
      <c r="B28" s="37"/>
    </row>
    <row r="29" customFormat="false" ht="15.6" hidden="false" customHeight="false" outlineLevel="0" collapsed="false">
      <c r="A29" s="38" t="s">
        <v>182</v>
      </c>
      <c r="B29" s="18"/>
    </row>
    <row r="30" customFormat="false" ht="14.4" hidden="false" customHeight="false" outlineLevel="0" collapsed="false">
      <c r="A30" s="39"/>
      <c r="B30" s="40" t="s">
        <v>64</v>
      </c>
    </row>
    <row r="31" customFormat="false" ht="13.8" hidden="false" customHeight="false" outlineLevel="0" collapsed="false">
      <c r="A31" s="41" t="s">
        <v>1</v>
      </c>
      <c r="B31" s="41" t="s">
        <v>65</v>
      </c>
      <c r="C31" s="41" t="s">
        <v>66</v>
      </c>
      <c r="D31" s="41" t="s">
        <v>67</v>
      </c>
      <c r="E31" s="41" t="s">
        <v>4</v>
      </c>
    </row>
    <row r="32" customFormat="false" ht="13.2" hidden="false" customHeight="false" outlineLevel="0" collapsed="false">
      <c r="A32" s="42" t="s">
        <v>249</v>
      </c>
      <c r="B32" s="2" t="s">
        <v>64</v>
      </c>
      <c r="C32" s="2" t="s">
        <v>250</v>
      </c>
      <c r="D32" s="2" t="s">
        <v>592</v>
      </c>
      <c r="E32" s="1" t="s">
        <v>1347</v>
      </c>
    </row>
    <row r="33" customFormat="false" ht="13.2" hidden="false" customHeight="false" outlineLevel="0" collapsed="false">
      <c r="A33" s="42" t="s">
        <v>246</v>
      </c>
      <c r="B33" s="2" t="s">
        <v>64</v>
      </c>
      <c r="C33" s="2" t="s">
        <v>1348</v>
      </c>
      <c r="D33" s="2" t="s">
        <v>236</v>
      </c>
      <c r="E33" s="1" t="s">
        <v>1349</v>
      </c>
    </row>
    <row r="35" customFormat="false" ht="14.4" hidden="false" customHeight="false" outlineLevel="0" collapsed="false">
      <c r="A35" s="39"/>
      <c r="B35" s="40" t="s">
        <v>1328</v>
      </c>
    </row>
    <row r="36" customFormat="false" ht="13.8" hidden="false" customHeight="false" outlineLevel="0" collapsed="false">
      <c r="A36" s="41" t="s">
        <v>1</v>
      </c>
      <c r="B36" s="41" t="s">
        <v>65</v>
      </c>
      <c r="C36" s="41" t="s">
        <v>66</v>
      </c>
      <c r="D36" s="41" t="s">
        <v>67</v>
      </c>
      <c r="E36" s="41" t="s">
        <v>4</v>
      </c>
    </row>
    <row r="37" customFormat="false" ht="13.2" hidden="false" customHeight="false" outlineLevel="0" collapsed="false">
      <c r="A37" s="42" t="s">
        <v>1350</v>
      </c>
      <c r="B37" s="2" t="s">
        <v>1329</v>
      </c>
      <c r="C37" s="2" t="s">
        <v>1351</v>
      </c>
      <c r="D37" s="2" t="s">
        <v>180</v>
      </c>
      <c r="E37" s="1" t="s">
        <v>1352</v>
      </c>
    </row>
    <row r="40" customFormat="false" ht="15.6" hidden="false" customHeight="false" outlineLevel="0" collapsed="false">
      <c r="A40" s="38" t="s">
        <v>63</v>
      </c>
      <c r="B40" s="18"/>
    </row>
    <row r="41" customFormat="false" ht="14.4" hidden="false" customHeight="false" outlineLevel="0" collapsed="false">
      <c r="A41" s="39"/>
      <c r="B41" s="40" t="s">
        <v>64</v>
      </c>
    </row>
    <row r="42" customFormat="false" ht="13.8" hidden="false" customHeight="false" outlineLevel="0" collapsed="false">
      <c r="A42" s="41" t="s">
        <v>1</v>
      </c>
      <c r="B42" s="41" t="s">
        <v>65</v>
      </c>
      <c r="C42" s="41" t="s">
        <v>66</v>
      </c>
      <c r="D42" s="41" t="s">
        <v>67</v>
      </c>
      <c r="E42" s="41" t="s">
        <v>4</v>
      </c>
    </row>
    <row r="43" customFormat="false" ht="13.2" hidden="false" customHeight="false" outlineLevel="0" collapsed="false">
      <c r="A43" s="42" t="s">
        <v>254</v>
      </c>
      <c r="B43" s="2" t="s">
        <v>64</v>
      </c>
      <c r="C43" s="2" t="s">
        <v>195</v>
      </c>
      <c r="D43" s="2" t="s">
        <v>728</v>
      </c>
      <c r="E43" s="1" t="s">
        <v>1353</v>
      </c>
    </row>
    <row r="44" customFormat="false" ht="13.2" hidden="false" customHeight="false" outlineLevel="0" collapsed="false">
      <c r="A44" s="42" t="s">
        <v>313</v>
      </c>
      <c r="B44" s="2" t="s">
        <v>64</v>
      </c>
      <c r="C44" s="2" t="s">
        <v>69</v>
      </c>
      <c r="D44" s="2" t="s">
        <v>739</v>
      </c>
      <c r="E44" s="1" t="s">
        <v>1354</v>
      </c>
    </row>
  </sheetData>
  <mergeCells count="13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4:J14"/>
    <mergeCell ref="A17:J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19.89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10" min="7" style="2" width="4.56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1355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6" t="s">
        <v>1323</v>
      </c>
      <c r="H3" s="46"/>
      <c r="I3" s="46"/>
      <c r="J3" s="46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</row>
    <row r="5" s="2" customFormat="true" ht="15.6" hidden="false" customHeight="false" outlineLevel="0" collapsed="false">
      <c r="A5" s="13" t="s">
        <v>211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212</v>
      </c>
      <c r="B6" s="15" t="s">
        <v>213</v>
      </c>
      <c r="C6" s="15" t="s">
        <v>214</v>
      </c>
      <c r="D6" s="15" t="str">
        <f aca="false">"1,0365"</f>
        <v>1,0365</v>
      </c>
      <c r="E6" s="16" t="s">
        <v>12</v>
      </c>
      <c r="F6" s="16" t="s">
        <v>215</v>
      </c>
      <c r="G6" s="15" t="s">
        <v>161</v>
      </c>
      <c r="H6" s="15" t="s">
        <v>1356</v>
      </c>
      <c r="I6" s="15" t="s">
        <v>1357</v>
      </c>
      <c r="J6" s="15" t="s">
        <v>1358</v>
      </c>
      <c r="K6" s="15" t="s">
        <v>1359</v>
      </c>
      <c r="L6" s="15" t="s">
        <v>1360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1341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9" t="s">
        <v>956</v>
      </c>
      <c r="B9" s="20" t="s">
        <v>1361</v>
      </c>
      <c r="C9" s="20" t="s">
        <v>664</v>
      </c>
      <c r="D9" s="20" t="str">
        <f aca="false">"0,6899"</f>
        <v>0,6899</v>
      </c>
      <c r="E9" s="21" t="s">
        <v>12</v>
      </c>
      <c r="F9" s="21" t="s">
        <v>327</v>
      </c>
      <c r="G9" s="20" t="s">
        <v>1362</v>
      </c>
      <c r="H9" s="22" t="s">
        <v>1363</v>
      </c>
      <c r="I9" s="22"/>
      <c r="J9" s="22"/>
      <c r="K9" s="23" t="str">
        <f aca="false">"50,5"</f>
        <v>50,5</v>
      </c>
      <c r="L9" s="23" t="str">
        <f aca="false">"34,8399"</f>
        <v>34,8399</v>
      </c>
      <c r="M9" s="23"/>
    </row>
    <row r="10" customFormat="false" ht="13.2" hidden="false" customHeight="false" outlineLevel="0" collapsed="false">
      <c r="A10" s="24" t="s">
        <v>956</v>
      </c>
      <c r="B10" s="25" t="s">
        <v>961</v>
      </c>
      <c r="C10" s="25" t="s">
        <v>664</v>
      </c>
      <c r="D10" s="25" t="str">
        <f aca="false">"0,6899"</f>
        <v>0,6899</v>
      </c>
      <c r="E10" s="26" t="s">
        <v>12</v>
      </c>
      <c r="F10" s="26" t="s">
        <v>327</v>
      </c>
      <c r="G10" s="25" t="s">
        <v>1362</v>
      </c>
      <c r="H10" s="27" t="s">
        <v>1363</v>
      </c>
      <c r="I10" s="27"/>
      <c r="J10" s="27"/>
      <c r="K10" s="28" t="str">
        <f aca="false">"50,5"</f>
        <v>50,5</v>
      </c>
      <c r="L10" s="28" t="str">
        <f aca="false">"34,8399"</f>
        <v>34,8399</v>
      </c>
      <c r="M10" s="28"/>
    </row>
    <row r="12" customFormat="false" ht="15.6" hidden="false" customHeight="false" outlineLevel="0" collapsed="false">
      <c r="A12" s="18" t="s">
        <v>32</v>
      </c>
      <c r="B12" s="18"/>
      <c r="C12" s="18"/>
      <c r="D12" s="18"/>
      <c r="E12" s="18"/>
      <c r="F12" s="18"/>
      <c r="G12" s="18"/>
      <c r="H12" s="18"/>
      <c r="I12" s="18"/>
      <c r="J12" s="18"/>
    </row>
    <row r="13" customFormat="false" ht="13.2" hidden="false" customHeight="false" outlineLevel="0" collapsed="false">
      <c r="A13" s="14" t="s">
        <v>237</v>
      </c>
      <c r="B13" s="15" t="s">
        <v>238</v>
      </c>
      <c r="C13" s="15" t="s">
        <v>239</v>
      </c>
      <c r="D13" s="15" t="str">
        <f aca="false">"0,5648"</f>
        <v>0,5648</v>
      </c>
      <c r="E13" s="16" t="s">
        <v>12</v>
      </c>
      <c r="F13" s="16" t="s">
        <v>215</v>
      </c>
      <c r="G13" s="15" t="s">
        <v>1364</v>
      </c>
      <c r="H13" s="15" t="s">
        <v>1363</v>
      </c>
      <c r="I13" s="15" t="s">
        <v>1365</v>
      </c>
      <c r="J13" s="17" t="s">
        <v>1366</v>
      </c>
      <c r="K13" s="29" t="str">
        <f aca="false">"78,0"</f>
        <v>78,0</v>
      </c>
      <c r="L13" s="29" t="str">
        <f aca="false">"44,0583"</f>
        <v>44,0583</v>
      </c>
      <c r="M13" s="29"/>
    </row>
    <row r="15" customFormat="false" ht="15" hidden="false" customHeight="false" outlineLevel="0" collapsed="false">
      <c r="E15" s="35" t="s">
        <v>56</v>
      </c>
    </row>
    <row r="16" customFormat="false" ht="15" hidden="false" customHeight="false" outlineLevel="0" collapsed="false">
      <c r="E16" s="35" t="s">
        <v>57</v>
      </c>
    </row>
    <row r="17" customFormat="false" ht="15" hidden="false" customHeight="false" outlineLevel="0" collapsed="false">
      <c r="E17" s="35" t="s">
        <v>58</v>
      </c>
    </row>
    <row r="18" customFormat="false" ht="13.2" hidden="false" customHeight="false" outlineLevel="0" collapsed="false">
      <c r="E18" s="3" t="s">
        <v>59</v>
      </c>
    </row>
    <row r="19" customFormat="false" ht="13.2" hidden="false" customHeight="false" outlineLevel="0" collapsed="false">
      <c r="E19" s="3" t="s">
        <v>60</v>
      </c>
    </row>
    <row r="20" customFormat="false" ht="13.2" hidden="false" customHeight="false" outlineLevel="0" collapsed="false">
      <c r="E20" s="3" t="s">
        <v>61</v>
      </c>
    </row>
    <row r="23" customFormat="false" ht="17.4" hidden="false" customHeight="false" outlineLevel="0" collapsed="false">
      <c r="A23" s="36" t="s">
        <v>62</v>
      </c>
      <c r="B23" s="37"/>
    </row>
    <row r="24" customFormat="false" ht="15.6" hidden="false" customHeight="false" outlineLevel="0" collapsed="false">
      <c r="A24" s="38" t="s">
        <v>182</v>
      </c>
      <c r="B24" s="18"/>
    </row>
    <row r="25" customFormat="false" ht="14.4" hidden="false" customHeight="false" outlineLevel="0" collapsed="false">
      <c r="A25" s="39"/>
      <c r="B25" s="40" t="s">
        <v>64</v>
      </c>
    </row>
    <row r="26" customFormat="false" ht="13.8" hidden="false" customHeight="false" outlineLevel="0" collapsed="false">
      <c r="A26" s="41" t="s">
        <v>1</v>
      </c>
      <c r="B26" s="41" t="s">
        <v>65</v>
      </c>
      <c r="C26" s="41" t="s">
        <v>66</v>
      </c>
      <c r="D26" s="41" t="s">
        <v>67</v>
      </c>
      <c r="E26" s="41" t="s">
        <v>4</v>
      </c>
    </row>
    <row r="27" customFormat="false" ht="13.2" hidden="false" customHeight="false" outlineLevel="0" collapsed="false">
      <c r="A27" s="42" t="s">
        <v>249</v>
      </c>
      <c r="B27" s="2" t="s">
        <v>64</v>
      </c>
      <c r="C27" s="2" t="s">
        <v>250</v>
      </c>
      <c r="D27" s="2" t="s">
        <v>1358</v>
      </c>
      <c r="E27" s="1" t="s">
        <v>1367</v>
      </c>
    </row>
    <row r="30" customFormat="false" ht="15.6" hidden="false" customHeight="false" outlineLevel="0" collapsed="false">
      <c r="A30" s="38" t="s">
        <v>63</v>
      </c>
      <c r="B30" s="18"/>
    </row>
    <row r="31" customFormat="false" ht="14.4" hidden="false" customHeight="false" outlineLevel="0" collapsed="false">
      <c r="A31" s="39"/>
      <c r="B31" s="40" t="s">
        <v>1368</v>
      </c>
    </row>
    <row r="32" customFormat="false" ht="13.8" hidden="false" customHeight="false" outlineLevel="0" collapsed="false">
      <c r="A32" s="41" t="s">
        <v>1</v>
      </c>
      <c r="B32" s="41" t="s">
        <v>65</v>
      </c>
      <c r="C32" s="41" t="s">
        <v>66</v>
      </c>
      <c r="D32" s="41" t="s">
        <v>67</v>
      </c>
      <c r="E32" s="41" t="s">
        <v>4</v>
      </c>
    </row>
    <row r="33" customFormat="false" ht="13.2" hidden="false" customHeight="false" outlineLevel="0" collapsed="false">
      <c r="A33" s="42" t="s">
        <v>963</v>
      </c>
      <c r="B33" s="2" t="s">
        <v>1368</v>
      </c>
      <c r="C33" s="2" t="s">
        <v>1351</v>
      </c>
      <c r="D33" s="2" t="s">
        <v>1362</v>
      </c>
      <c r="E33" s="1" t="s">
        <v>1369</v>
      </c>
    </row>
    <row r="35" customFormat="false" ht="14.4" hidden="false" customHeight="false" outlineLevel="0" collapsed="false">
      <c r="A35" s="39"/>
      <c r="B35" s="40" t="s">
        <v>64</v>
      </c>
    </row>
    <row r="36" customFormat="false" ht="13.8" hidden="false" customHeight="false" outlineLevel="0" collapsed="false">
      <c r="A36" s="41" t="s">
        <v>1</v>
      </c>
      <c r="B36" s="41" t="s">
        <v>65</v>
      </c>
      <c r="C36" s="41" t="s">
        <v>66</v>
      </c>
      <c r="D36" s="41" t="s">
        <v>67</v>
      </c>
      <c r="E36" s="41" t="s">
        <v>4</v>
      </c>
    </row>
    <row r="37" customFormat="false" ht="13.2" hidden="false" customHeight="false" outlineLevel="0" collapsed="false">
      <c r="A37" s="42" t="s">
        <v>254</v>
      </c>
      <c r="B37" s="2" t="s">
        <v>64</v>
      </c>
      <c r="C37" s="2" t="s">
        <v>195</v>
      </c>
      <c r="D37" s="2" t="s">
        <v>1365</v>
      </c>
      <c r="E37" s="1" t="s">
        <v>1370</v>
      </c>
    </row>
    <row r="38" customFormat="false" ht="13.2" hidden="false" customHeight="false" outlineLevel="0" collapsed="false">
      <c r="A38" s="42" t="s">
        <v>963</v>
      </c>
      <c r="B38" s="2" t="s">
        <v>64</v>
      </c>
      <c r="C38" s="2" t="s">
        <v>1351</v>
      </c>
      <c r="D38" s="2" t="s">
        <v>1362</v>
      </c>
      <c r="E38" s="1" t="s">
        <v>1369</v>
      </c>
    </row>
  </sheetData>
  <mergeCells count="11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2:J12"/>
  </mergeCells>
  <printOptions headings="false" gridLines="false" gridLinesSet="true" horizontalCentered="false" verticalCentered="false"/>
  <pageMargins left="0.196527777777778" right="0.472222222222222" top="0.433333333333333" bottom="0.472916666666667" header="0.511805555555555" footer="0.511805555555555"/>
  <pageSetup paperSize="1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&amp;R&amp;D&amp;T&amp;P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9.57"/>
    <col collapsed="false" customWidth="true" hidden="false" outlineLevel="0" max="7" min="7" style="1" width="21.78"/>
    <col collapsed="false" customWidth="true" hidden="false" outlineLevel="0" max="8" min="8" style="2" width="4.56"/>
    <col collapsed="false" customWidth="true" hidden="false" outlineLevel="0" max="9" min="9" style="4" width="9"/>
    <col collapsed="false" customWidth="true" hidden="false" outlineLevel="0" max="10" min="10" style="4" width="11.99"/>
    <col collapsed="false" customWidth="false" hidden="false" outlineLevel="0" max="1024" min="11" style="4" width="9.13"/>
  </cols>
  <sheetData>
    <row r="1" customFormat="false" ht="28.95" hidden="false" customHeight="true" outlineLevel="0" collapsed="false">
      <c r="A1" s="5" t="s">
        <v>135</v>
      </c>
      <c r="B1" s="5"/>
      <c r="C1" s="5"/>
      <c r="D1" s="5"/>
      <c r="E1" s="5"/>
      <c r="F1" s="5"/>
      <c r="G1" s="5"/>
      <c r="H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3" t="s">
        <v>80</v>
      </c>
      <c r="H3" s="8" t="s">
        <v>81</v>
      </c>
      <c r="I3" s="11" t="s">
        <v>82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43"/>
      <c r="H4" s="8"/>
    </row>
    <row r="5" s="2" customFormat="true" ht="15.6" hidden="false" customHeight="false" outlineLevel="0" collapsed="false">
      <c r="A5" s="13" t="s">
        <v>136</v>
      </c>
      <c r="B5" s="13"/>
      <c r="C5" s="13"/>
      <c r="D5" s="13"/>
      <c r="E5" s="13"/>
      <c r="F5" s="13"/>
      <c r="G5" s="13"/>
      <c r="H5" s="13"/>
    </row>
    <row r="6" s="2" customFormat="true" ht="13.2" hidden="false" customHeight="false" outlineLevel="0" collapsed="false">
      <c r="A6" s="14" t="s">
        <v>137</v>
      </c>
      <c r="B6" s="15" t="s">
        <v>138</v>
      </c>
      <c r="C6" s="15" t="s">
        <v>139</v>
      </c>
      <c r="D6" s="15" t="str">
        <f aca="false">"1,1715"</f>
        <v>1,1715</v>
      </c>
      <c r="E6" s="16" t="s">
        <v>140</v>
      </c>
      <c r="F6" s="16" t="s">
        <v>29</v>
      </c>
      <c r="G6" s="14" t="s">
        <v>141</v>
      </c>
      <c r="H6" s="15" t="s">
        <v>142</v>
      </c>
      <c r="I6" s="15" t="s">
        <v>143</v>
      </c>
      <c r="J6" s="15" t="s">
        <v>144</v>
      </c>
      <c r="K6" s="15"/>
    </row>
    <row r="7" s="2" customFormat="true" ht="13.2" hidden="false" customHeight="false" outlineLevel="0" collapsed="false">
      <c r="A7" s="1"/>
      <c r="E7" s="3"/>
      <c r="F7" s="3"/>
      <c r="G7" s="1"/>
    </row>
    <row r="8" customFormat="false" ht="15.6" hidden="false" customHeight="false" outlineLevel="0" collapsed="false">
      <c r="A8" s="18" t="s">
        <v>145</v>
      </c>
      <c r="B8" s="18"/>
      <c r="C8" s="18"/>
      <c r="D8" s="18"/>
      <c r="E8" s="18"/>
      <c r="F8" s="18"/>
      <c r="G8" s="18"/>
      <c r="H8" s="18"/>
    </row>
    <row r="9" customFormat="false" ht="13.2" hidden="false" customHeight="false" outlineLevel="0" collapsed="false">
      <c r="A9" s="14" t="s">
        <v>146</v>
      </c>
      <c r="B9" s="15" t="s">
        <v>147</v>
      </c>
      <c r="C9" s="15" t="s">
        <v>148</v>
      </c>
      <c r="D9" s="15" t="str">
        <f aca="false">"1,0701"</f>
        <v>1,0701</v>
      </c>
      <c r="E9" s="16" t="s">
        <v>12</v>
      </c>
      <c r="F9" s="16" t="s">
        <v>29</v>
      </c>
      <c r="G9" s="14" t="s">
        <v>149</v>
      </c>
      <c r="H9" s="15" t="s">
        <v>150</v>
      </c>
      <c r="I9" s="29" t="str">
        <f aca="false">"275,0"</f>
        <v>275,0</v>
      </c>
      <c r="J9" s="29" t="str">
        <f aca="false">"294,2775"</f>
        <v>294,2775</v>
      </c>
      <c r="K9" s="29"/>
    </row>
    <row r="11" customFormat="false" ht="15.6" hidden="false" customHeight="false" outlineLevel="0" collapsed="false">
      <c r="A11" s="18" t="s">
        <v>83</v>
      </c>
      <c r="B11" s="18"/>
      <c r="C11" s="18"/>
      <c r="D11" s="18"/>
      <c r="E11" s="18"/>
      <c r="F11" s="18"/>
      <c r="G11" s="18"/>
      <c r="H11" s="18"/>
    </row>
    <row r="12" customFormat="false" ht="13.2" hidden="false" customHeight="false" outlineLevel="0" collapsed="false">
      <c r="A12" s="14" t="s">
        <v>151</v>
      </c>
      <c r="B12" s="15" t="s">
        <v>152</v>
      </c>
      <c r="C12" s="15" t="s">
        <v>153</v>
      </c>
      <c r="D12" s="15" t="str">
        <f aca="false">"0,8765"</f>
        <v>0,8765</v>
      </c>
      <c r="E12" s="16" t="s">
        <v>12</v>
      </c>
      <c r="F12" s="16" t="s">
        <v>154</v>
      </c>
      <c r="G12" s="14" t="s">
        <v>155</v>
      </c>
      <c r="H12" s="15" t="s">
        <v>156</v>
      </c>
      <c r="I12" s="29" t="str">
        <f aca="false">"1330,0"</f>
        <v>1330,0</v>
      </c>
      <c r="J12" s="29" t="str">
        <f aca="false">"1177,3353"</f>
        <v>1177,3353</v>
      </c>
      <c r="K12" s="29"/>
    </row>
    <row r="14" customFormat="false" ht="15.6" hidden="false" customHeight="false" outlineLevel="0" collapsed="false">
      <c r="A14" s="18" t="s">
        <v>83</v>
      </c>
      <c r="B14" s="18"/>
      <c r="C14" s="18"/>
      <c r="D14" s="18"/>
      <c r="E14" s="18"/>
      <c r="F14" s="18"/>
      <c r="G14" s="18"/>
      <c r="H14" s="18"/>
    </row>
    <row r="15" customFormat="false" ht="13.2" hidden="false" customHeight="false" outlineLevel="0" collapsed="false">
      <c r="A15" s="14" t="s">
        <v>157</v>
      </c>
      <c r="B15" s="15" t="s">
        <v>158</v>
      </c>
      <c r="C15" s="15" t="s">
        <v>159</v>
      </c>
      <c r="D15" s="15" t="str">
        <f aca="false">"0,6920"</f>
        <v>0,6920</v>
      </c>
      <c r="E15" s="16" t="s">
        <v>12</v>
      </c>
      <c r="F15" s="16" t="s">
        <v>160</v>
      </c>
      <c r="G15" s="14" t="s">
        <v>88</v>
      </c>
      <c r="H15" s="15" t="s">
        <v>161</v>
      </c>
      <c r="I15" s="29" t="str">
        <f aca="false">"2475,0"</f>
        <v>2475,0</v>
      </c>
      <c r="J15" s="29" t="str">
        <f aca="false">"1712,5763"</f>
        <v>1712,5763</v>
      </c>
      <c r="K15" s="29"/>
    </row>
    <row r="17" customFormat="false" ht="15.6" hidden="false" customHeight="false" outlineLevel="0" collapsed="false">
      <c r="A17" s="18" t="s">
        <v>8</v>
      </c>
      <c r="B17" s="18"/>
      <c r="C17" s="18"/>
      <c r="D17" s="18"/>
      <c r="E17" s="18"/>
      <c r="F17" s="18"/>
      <c r="G17" s="18"/>
      <c r="H17" s="18"/>
    </row>
    <row r="18" customFormat="false" ht="13.2" hidden="false" customHeight="false" outlineLevel="0" collapsed="false">
      <c r="A18" s="14" t="s">
        <v>162</v>
      </c>
      <c r="B18" s="15" t="s">
        <v>163</v>
      </c>
      <c r="C18" s="15" t="s">
        <v>164</v>
      </c>
      <c r="D18" s="15" t="str">
        <f aca="false">"0,6230"</f>
        <v>0,6230</v>
      </c>
      <c r="E18" s="16" t="s">
        <v>12</v>
      </c>
      <c r="F18" s="16" t="s">
        <v>165</v>
      </c>
      <c r="G18" s="14" t="s">
        <v>166</v>
      </c>
      <c r="H18" s="15" t="s">
        <v>103</v>
      </c>
      <c r="I18" s="29" t="str">
        <f aca="false">"2625,0"</f>
        <v>2625,0</v>
      </c>
      <c r="J18" s="29" t="str">
        <f aca="false">"1820,1725"</f>
        <v>1820,1725</v>
      </c>
      <c r="K18" s="29"/>
    </row>
    <row r="20" customFormat="false" ht="15.6" hidden="false" customHeight="false" outlineLevel="0" collapsed="false">
      <c r="A20" s="18" t="s">
        <v>19</v>
      </c>
      <c r="B20" s="18"/>
      <c r="C20" s="18"/>
      <c r="D20" s="18"/>
      <c r="E20" s="18"/>
      <c r="F20" s="18"/>
      <c r="G20" s="18"/>
      <c r="H20" s="18"/>
    </row>
    <row r="21" customFormat="false" ht="13.2" hidden="false" customHeight="false" outlineLevel="0" collapsed="false">
      <c r="A21" s="19" t="s">
        <v>167</v>
      </c>
      <c r="B21" s="20" t="s">
        <v>168</v>
      </c>
      <c r="C21" s="20" t="s">
        <v>169</v>
      </c>
      <c r="D21" s="20" t="str">
        <f aca="false">"0,5859"</f>
        <v>0,5859</v>
      </c>
      <c r="E21" s="21" t="s">
        <v>12</v>
      </c>
      <c r="F21" s="21" t="s">
        <v>29</v>
      </c>
      <c r="G21" s="19" t="s">
        <v>170</v>
      </c>
      <c r="H21" s="20" t="s">
        <v>171</v>
      </c>
      <c r="I21" s="23" t="str">
        <f aca="false">"2700,0"</f>
        <v>2700,0</v>
      </c>
      <c r="J21" s="23" t="str">
        <f aca="false">"1581,7950"</f>
        <v>1581,7950</v>
      </c>
      <c r="K21" s="23"/>
    </row>
    <row r="22" customFormat="false" ht="13.2" hidden="false" customHeight="false" outlineLevel="0" collapsed="false">
      <c r="A22" s="24" t="s">
        <v>172</v>
      </c>
      <c r="B22" s="25" t="s">
        <v>173</v>
      </c>
      <c r="C22" s="25" t="s">
        <v>174</v>
      </c>
      <c r="D22" s="25" t="str">
        <f aca="false">"0,5902"</f>
        <v>0,5902</v>
      </c>
      <c r="E22" s="26" t="s">
        <v>12</v>
      </c>
      <c r="F22" s="26" t="s">
        <v>175</v>
      </c>
      <c r="G22" s="24" t="s">
        <v>176</v>
      </c>
      <c r="H22" s="25" t="s">
        <v>113</v>
      </c>
      <c r="I22" s="28" t="str">
        <f aca="false">"2340,0"</f>
        <v>2340,0</v>
      </c>
      <c r="J22" s="28" t="str">
        <f aca="false">"1560,6069"</f>
        <v>1560,6069</v>
      </c>
      <c r="K22" s="28"/>
    </row>
    <row r="24" customFormat="false" ht="15.6" hidden="false" customHeight="false" outlineLevel="0" collapsed="false">
      <c r="A24" s="18" t="s">
        <v>32</v>
      </c>
      <c r="B24" s="18"/>
      <c r="C24" s="18"/>
      <c r="D24" s="18"/>
      <c r="E24" s="18"/>
      <c r="F24" s="18"/>
      <c r="G24" s="18"/>
      <c r="H24" s="18"/>
    </row>
    <row r="25" customFormat="false" ht="13.2" hidden="false" customHeight="false" outlineLevel="0" collapsed="false">
      <c r="A25" s="14" t="s">
        <v>177</v>
      </c>
      <c r="B25" s="15" t="s">
        <v>178</v>
      </c>
      <c r="C25" s="15" t="s">
        <v>179</v>
      </c>
      <c r="D25" s="15" t="str">
        <f aca="false">"0,5744"</f>
        <v>0,5744</v>
      </c>
      <c r="E25" s="16" t="s">
        <v>12</v>
      </c>
      <c r="F25" s="16" t="s">
        <v>175</v>
      </c>
      <c r="G25" s="14" t="s">
        <v>180</v>
      </c>
      <c r="H25" s="15" t="s">
        <v>181</v>
      </c>
      <c r="I25" s="29" t="str">
        <f aca="false">"3675,0"</f>
        <v>3675,0</v>
      </c>
      <c r="J25" s="29" t="str">
        <f aca="false">"2110,9200"</f>
        <v>2110,9200</v>
      </c>
      <c r="K25" s="29"/>
    </row>
    <row r="27" customFormat="false" ht="15" hidden="false" customHeight="false" outlineLevel="0" collapsed="false">
      <c r="E27" s="35" t="s">
        <v>56</v>
      </c>
    </row>
    <row r="28" customFormat="false" ht="15" hidden="false" customHeight="false" outlineLevel="0" collapsed="false">
      <c r="E28" s="35" t="s">
        <v>57</v>
      </c>
    </row>
    <row r="29" customFormat="false" ht="15" hidden="false" customHeight="false" outlineLevel="0" collapsed="false">
      <c r="E29" s="35" t="s">
        <v>58</v>
      </c>
    </row>
    <row r="30" customFormat="false" ht="13.2" hidden="false" customHeight="false" outlineLevel="0" collapsed="false">
      <c r="E30" s="3" t="s">
        <v>59</v>
      </c>
    </row>
    <row r="31" customFormat="false" ht="13.2" hidden="false" customHeight="false" outlineLevel="0" collapsed="false">
      <c r="E31" s="3" t="s">
        <v>60</v>
      </c>
    </row>
    <row r="32" customFormat="false" ht="13.2" hidden="false" customHeight="false" outlineLevel="0" collapsed="false">
      <c r="E32" s="3" t="s">
        <v>61</v>
      </c>
    </row>
    <row r="35" customFormat="false" ht="17.4" hidden="false" customHeight="false" outlineLevel="0" collapsed="false">
      <c r="A35" s="36" t="s">
        <v>62</v>
      </c>
      <c r="B35" s="37"/>
    </row>
    <row r="36" customFormat="false" ht="15.6" hidden="false" customHeight="false" outlineLevel="0" collapsed="false">
      <c r="A36" s="38" t="s">
        <v>182</v>
      </c>
      <c r="B36" s="18"/>
    </row>
    <row r="37" customFormat="false" ht="14.4" hidden="false" customHeight="false" outlineLevel="0" collapsed="false">
      <c r="A37" s="39"/>
      <c r="B37" s="40" t="s">
        <v>114</v>
      </c>
    </row>
    <row r="38" customFormat="false" ht="13.8" hidden="false" customHeight="false" outlineLevel="0" collapsed="false">
      <c r="A38" s="41" t="s">
        <v>1</v>
      </c>
      <c r="B38" s="41" t="s">
        <v>65</v>
      </c>
      <c r="C38" s="41" t="s">
        <v>66</v>
      </c>
      <c r="D38" s="41" t="s">
        <v>67</v>
      </c>
      <c r="E38" s="41" t="s">
        <v>4</v>
      </c>
    </row>
    <row r="39" customFormat="false" ht="13.2" hidden="false" customHeight="false" outlineLevel="0" collapsed="false">
      <c r="A39" s="42" t="s">
        <v>183</v>
      </c>
      <c r="B39" s="2" t="s">
        <v>116</v>
      </c>
      <c r="C39" s="2" t="s">
        <v>184</v>
      </c>
      <c r="D39" s="2" t="s">
        <v>185</v>
      </c>
      <c r="E39" s="1" t="s">
        <v>186</v>
      </c>
    </row>
    <row r="41" customFormat="false" ht="14.4" hidden="false" customHeight="false" outlineLevel="0" collapsed="false">
      <c r="A41" s="39"/>
      <c r="B41" s="40" t="s">
        <v>64</v>
      </c>
    </row>
    <row r="42" customFormat="false" ht="13.8" hidden="false" customHeight="false" outlineLevel="0" collapsed="false">
      <c r="A42" s="41" t="s">
        <v>1</v>
      </c>
      <c r="B42" s="41" t="s">
        <v>65</v>
      </c>
      <c r="C42" s="41" t="s">
        <v>66</v>
      </c>
      <c r="D42" s="41" t="s">
        <v>67</v>
      </c>
      <c r="E42" s="41" t="s">
        <v>4</v>
      </c>
    </row>
    <row r="43" customFormat="false" ht="13.2" hidden="false" customHeight="false" outlineLevel="0" collapsed="false">
      <c r="A43" s="42" t="s">
        <v>187</v>
      </c>
      <c r="B43" s="2" t="s">
        <v>64</v>
      </c>
      <c r="C43" s="2" t="s">
        <v>188</v>
      </c>
      <c r="D43" s="2" t="s">
        <v>189</v>
      </c>
      <c r="E43" s="1" t="s">
        <v>190</v>
      </c>
    </row>
    <row r="45" customFormat="false" ht="14.4" hidden="false" customHeight="false" outlineLevel="0" collapsed="false">
      <c r="A45" s="39"/>
      <c r="B45" s="40" t="s">
        <v>130</v>
      </c>
    </row>
    <row r="46" customFormat="false" ht="13.8" hidden="false" customHeight="false" outlineLevel="0" collapsed="false">
      <c r="A46" s="41" t="s">
        <v>1</v>
      </c>
      <c r="B46" s="41" t="s">
        <v>65</v>
      </c>
      <c r="C46" s="41" t="s">
        <v>66</v>
      </c>
      <c r="D46" s="41" t="s">
        <v>67</v>
      </c>
      <c r="E46" s="41" t="s">
        <v>4</v>
      </c>
    </row>
    <row r="47" customFormat="false" ht="13.2" hidden="false" customHeight="false" outlineLevel="0" collapsed="false">
      <c r="A47" s="42" t="s">
        <v>191</v>
      </c>
      <c r="B47" s="2" t="s">
        <v>132</v>
      </c>
      <c r="C47" s="2" t="s">
        <v>124</v>
      </c>
      <c r="D47" s="2" t="s">
        <v>192</v>
      </c>
      <c r="E47" s="1" t="s">
        <v>193</v>
      </c>
    </row>
    <row r="50" customFormat="false" ht="15.6" hidden="false" customHeight="false" outlineLevel="0" collapsed="false">
      <c r="A50" s="38" t="s">
        <v>63</v>
      </c>
      <c r="B50" s="18"/>
    </row>
    <row r="51" customFormat="false" ht="14.4" hidden="false" customHeight="false" outlineLevel="0" collapsed="false">
      <c r="A51" s="39"/>
      <c r="B51" s="40" t="s">
        <v>64</v>
      </c>
    </row>
    <row r="52" customFormat="false" ht="13.8" hidden="false" customHeight="false" outlineLevel="0" collapsed="false">
      <c r="A52" s="41" t="s">
        <v>1</v>
      </c>
      <c r="B52" s="41" t="s">
        <v>65</v>
      </c>
      <c r="C52" s="41" t="s">
        <v>66</v>
      </c>
      <c r="D52" s="41" t="s">
        <v>67</v>
      </c>
      <c r="E52" s="41" t="s">
        <v>4</v>
      </c>
    </row>
    <row r="53" customFormat="false" ht="13.2" hidden="false" customHeight="false" outlineLevel="0" collapsed="false">
      <c r="A53" s="42" t="s">
        <v>194</v>
      </c>
      <c r="B53" s="2" t="s">
        <v>64</v>
      </c>
      <c r="C53" s="2" t="s">
        <v>195</v>
      </c>
      <c r="D53" s="2" t="s">
        <v>196</v>
      </c>
      <c r="E53" s="1" t="s">
        <v>197</v>
      </c>
    </row>
    <row r="54" customFormat="false" ht="13.2" hidden="false" customHeight="false" outlineLevel="0" collapsed="false">
      <c r="A54" s="42" t="s">
        <v>198</v>
      </c>
      <c r="B54" s="2" t="s">
        <v>64</v>
      </c>
      <c r="C54" s="2" t="s">
        <v>124</v>
      </c>
      <c r="D54" s="2" t="s">
        <v>121</v>
      </c>
      <c r="E54" s="1" t="s">
        <v>199</v>
      </c>
    </row>
    <row r="55" customFormat="false" ht="13.2" hidden="false" customHeight="false" outlineLevel="0" collapsed="false">
      <c r="A55" s="42" t="s">
        <v>200</v>
      </c>
      <c r="B55" s="2" t="s">
        <v>64</v>
      </c>
      <c r="C55" s="2" t="s">
        <v>77</v>
      </c>
      <c r="D55" s="2" t="s">
        <v>201</v>
      </c>
      <c r="E55" s="1" t="s">
        <v>202</v>
      </c>
    </row>
    <row r="57" customFormat="false" ht="14.4" hidden="false" customHeight="false" outlineLevel="0" collapsed="false">
      <c r="A57" s="39"/>
      <c r="B57" s="40" t="s">
        <v>130</v>
      </c>
    </row>
    <row r="58" customFormat="false" ht="13.8" hidden="false" customHeight="false" outlineLevel="0" collapsed="false">
      <c r="A58" s="41" t="s">
        <v>1</v>
      </c>
      <c r="B58" s="41" t="s">
        <v>65</v>
      </c>
      <c r="C58" s="41" t="s">
        <v>66</v>
      </c>
      <c r="D58" s="41" t="s">
        <v>67</v>
      </c>
      <c r="E58" s="41" t="s">
        <v>4</v>
      </c>
    </row>
    <row r="59" customFormat="false" ht="13.2" hidden="false" customHeight="false" outlineLevel="0" collapsed="false">
      <c r="A59" s="42" t="s">
        <v>203</v>
      </c>
      <c r="B59" s="2" t="s">
        <v>132</v>
      </c>
      <c r="C59" s="2" t="s">
        <v>69</v>
      </c>
      <c r="D59" s="2" t="s">
        <v>204</v>
      </c>
      <c r="E59" s="1" t="s">
        <v>205</v>
      </c>
    </row>
    <row r="60" customFormat="false" ht="13.2" hidden="false" customHeight="false" outlineLevel="0" collapsed="false">
      <c r="A60" s="42" t="s">
        <v>206</v>
      </c>
      <c r="B60" s="2" t="s">
        <v>207</v>
      </c>
      <c r="C60" s="2" t="s">
        <v>77</v>
      </c>
      <c r="D60" s="2" t="s">
        <v>208</v>
      </c>
      <c r="E60" s="1" t="s">
        <v>209</v>
      </c>
    </row>
  </sheetData>
  <mergeCells count="16">
    <mergeCell ref="A1:H2"/>
    <mergeCell ref="A3:A4"/>
    <mergeCell ref="B3:B4"/>
    <mergeCell ref="C3:C4"/>
    <mergeCell ref="D3:D4"/>
    <mergeCell ref="E3:E4"/>
    <mergeCell ref="F3:F4"/>
    <mergeCell ref="G3:G4"/>
    <mergeCell ref="H3:H4"/>
    <mergeCell ref="A5:H5"/>
    <mergeCell ref="A8:H8"/>
    <mergeCell ref="A11:H11"/>
    <mergeCell ref="A14:H14"/>
    <mergeCell ref="A17:H17"/>
    <mergeCell ref="A20:H20"/>
    <mergeCell ref="A24:H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9.65"/>
    <col collapsed="false" customWidth="true" hidden="false" outlineLevel="0" max="9" min="7" style="2" width="4.56"/>
    <col collapsed="false" customWidth="true" hidden="false" outlineLevel="0" max="10" min="10" style="2" width="3.22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210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4"/>
      <c r="H3" s="44"/>
      <c r="I3" s="44"/>
      <c r="J3" s="44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9</v>
      </c>
      <c r="H4" s="12" t="n">
        <v>10</v>
      </c>
      <c r="I4" s="12" t="n">
        <v>11</v>
      </c>
      <c r="J4" s="12" t="n">
        <v>12</v>
      </c>
    </row>
    <row r="5" s="2" customFormat="true" ht="15.6" hidden="false" customHeight="false" outlineLevel="0" collapsed="false">
      <c r="A5" s="13" t="s">
        <v>211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212</v>
      </c>
      <c r="B6" s="15" t="s">
        <v>213</v>
      </c>
      <c r="C6" s="15" t="s">
        <v>214</v>
      </c>
      <c r="D6" s="15" t="str">
        <f aca="false">"1,0365"</f>
        <v>1,0365</v>
      </c>
      <c r="E6" s="16" t="s">
        <v>12</v>
      </c>
      <c r="F6" s="16" t="s">
        <v>215</v>
      </c>
      <c r="G6" s="15" t="s">
        <v>216</v>
      </c>
      <c r="H6" s="17" t="s">
        <v>217</v>
      </c>
      <c r="I6" s="17"/>
      <c r="J6" s="17"/>
      <c r="K6" s="15" t="s">
        <v>218</v>
      </c>
      <c r="L6" s="15" t="s">
        <v>219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220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4" t="s">
        <v>221</v>
      </c>
      <c r="B9" s="15" t="s">
        <v>222</v>
      </c>
      <c r="C9" s="15" t="s">
        <v>223</v>
      </c>
      <c r="D9" s="15" t="str">
        <f aca="false">"0,9439"</f>
        <v>0,9439</v>
      </c>
      <c r="E9" s="16" t="s">
        <v>12</v>
      </c>
      <c r="F9" s="16" t="s">
        <v>224</v>
      </c>
      <c r="G9" s="15" t="s">
        <v>217</v>
      </c>
      <c r="H9" s="15" t="s">
        <v>103</v>
      </c>
      <c r="I9" s="17" t="s">
        <v>225</v>
      </c>
      <c r="J9" s="17"/>
      <c r="K9" s="29" t="str">
        <f aca="false">"30,0"</f>
        <v>30,0</v>
      </c>
      <c r="L9" s="29" t="str">
        <f aca="false">"28,3170"</f>
        <v>28,3170</v>
      </c>
      <c r="M9" s="29"/>
    </row>
    <row r="11" customFormat="false" ht="15.6" hidden="false" customHeight="false" outlineLevel="0" collapsed="false">
      <c r="A11" s="18" t="s">
        <v>83</v>
      </c>
      <c r="B11" s="18"/>
      <c r="C11" s="18"/>
      <c r="D11" s="18"/>
      <c r="E11" s="18"/>
      <c r="F11" s="18"/>
      <c r="G11" s="18"/>
      <c r="H11" s="18"/>
      <c r="I11" s="18"/>
      <c r="J11" s="18"/>
    </row>
    <row r="12" customFormat="false" ht="13.2" hidden="false" customHeight="false" outlineLevel="0" collapsed="false">
      <c r="A12" s="14" t="s">
        <v>226</v>
      </c>
      <c r="B12" s="15" t="s">
        <v>227</v>
      </c>
      <c r="C12" s="15" t="s">
        <v>228</v>
      </c>
      <c r="D12" s="15" t="str">
        <f aca="false">"0,6934"</f>
        <v>0,6934</v>
      </c>
      <c r="E12" s="16" t="s">
        <v>140</v>
      </c>
      <c r="F12" s="16" t="s">
        <v>229</v>
      </c>
      <c r="G12" s="15" t="s">
        <v>141</v>
      </c>
      <c r="H12" s="15" t="s">
        <v>230</v>
      </c>
      <c r="I12" s="17" t="s">
        <v>231</v>
      </c>
      <c r="J12" s="17"/>
      <c r="K12" s="29" t="str">
        <f aca="false">"60,0"</f>
        <v>60,0</v>
      </c>
      <c r="L12" s="29" t="str">
        <f aca="false">"41,6010"</f>
        <v>41,6010</v>
      </c>
      <c r="M12" s="29"/>
    </row>
    <row r="14" customFormat="false" ht="15.6" hidden="false" customHeight="false" outlineLevel="0" collapsed="false">
      <c r="A14" s="18" t="s">
        <v>8</v>
      </c>
      <c r="B14" s="18"/>
      <c r="C14" s="18"/>
      <c r="D14" s="18"/>
      <c r="E14" s="18"/>
      <c r="F14" s="18"/>
      <c r="G14" s="18"/>
      <c r="H14" s="18"/>
      <c r="I14" s="18"/>
      <c r="J14" s="18"/>
    </row>
    <row r="15" customFormat="false" ht="13.2" hidden="false" customHeight="false" outlineLevel="0" collapsed="false">
      <c r="A15" s="14" t="s">
        <v>232</v>
      </c>
      <c r="B15" s="15" t="s">
        <v>233</v>
      </c>
      <c r="C15" s="15" t="s">
        <v>234</v>
      </c>
      <c r="D15" s="15" t="str">
        <f aca="false">"0,6119"</f>
        <v>0,6119</v>
      </c>
      <c r="E15" s="16" t="s">
        <v>12</v>
      </c>
      <c r="F15" s="16" t="s">
        <v>235</v>
      </c>
      <c r="G15" s="15" t="s">
        <v>141</v>
      </c>
      <c r="H15" s="15" t="s">
        <v>230</v>
      </c>
      <c r="I15" s="17" t="s">
        <v>236</v>
      </c>
      <c r="J15" s="17"/>
      <c r="K15" s="29" t="str">
        <f aca="false">"60,0"</f>
        <v>60,0</v>
      </c>
      <c r="L15" s="29" t="str">
        <f aca="false">"36,7110"</f>
        <v>36,7110</v>
      </c>
      <c r="M15" s="29"/>
    </row>
    <row r="17" customFormat="false" ht="15.6" hidden="false" customHeight="false" outlineLevel="0" collapsed="false">
      <c r="A17" s="18" t="s">
        <v>32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3.2" hidden="false" customHeight="false" outlineLevel="0" collapsed="false">
      <c r="A18" s="19" t="s">
        <v>237</v>
      </c>
      <c r="B18" s="20" t="s">
        <v>238</v>
      </c>
      <c r="C18" s="20" t="s">
        <v>239</v>
      </c>
      <c r="D18" s="20" t="str">
        <f aca="false">"0,5648"</f>
        <v>0,5648</v>
      </c>
      <c r="E18" s="21" t="s">
        <v>12</v>
      </c>
      <c r="F18" s="21" t="s">
        <v>215</v>
      </c>
      <c r="G18" s="20" t="s">
        <v>240</v>
      </c>
      <c r="H18" s="22" t="s">
        <v>241</v>
      </c>
      <c r="I18" s="22" t="s">
        <v>241</v>
      </c>
      <c r="J18" s="22"/>
      <c r="K18" s="23" t="str">
        <f aca="false">"72,5"</f>
        <v>72,5</v>
      </c>
      <c r="L18" s="23" t="str">
        <f aca="false">"40,9516"</f>
        <v>40,9516</v>
      </c>
      <c r="M18" s="23"/>
    </row>
    <row r="19" customFormat="false" ht="13.2" hidden="false" customHeight="false" outlineLevel="0" collapsed="false">
      <c r="A19" s="24" t="s">
        <v>242</v>
      </c>
      <c r="B19" s="25" t="s">
        <v>243</v>
      </c>
      <c r="C19" s="25" t="s">
        <v>244</v>
      </c>
      <c r="D19" s="25" t="str">
        <f aca="false">"0,5701"</f>
        <v>0,5701</v>
      </c>
      <c r="E19" s="26" t="s">
        <v>12</v>
      </c>
      <c r="F19" s="26" t="s">
        <v>245</v>
      </c>
      <c r="G19" s="25" t="s">
        <v>230</v>
      </c>
      <c r="H19" s="25" t="s">
        <v>236</v>
      </c>
      <c r="I19" s="25" t="s">
        <v>155</v>
      </c>
      <c r="J19" s="27"/>
      <c r="K19" s="28" t="str">
        <f aca="false">"70,0"</f>
        <v>70,0</v>
      </c>
      <c r="L19" s="28" t="str">
        <f aca="false">"41,1441"</f>
        <v>41,1441</v>
      </c>
      <c r="M19" s="28"/>
    </row>
    <row r="21" customFormat="false" ht="15" hidden="false" customHeight="false" outlineLevel="0" collapsed="false">
      <c r="E21" s="35" t="s">
        <v>56</v>
      </c>
    </row>
    <row r="22" customFormat="false" ht="15" hidden="false" customHeight="false" outlineLevel="0" collapsed="false">
      <c r="E22" s="35" t="s">
        <v>57</v>
      </c>
    </row>
    <row r="23" customFormat="false" ht="15" hidden="false" customHeight="false" outlineLevel="0" collapsed="false">
      <c r="E23" s="35" t="s">
        <v>58</v>
      </c>
    </row>
    <row r="24" customFormat="false" ht="13.2" hidden="false" customHeight="false" outlineLevel="0" collapsed="false">
      <c r="E24" s="3" t="s">
        <v>59</v>
      </c>
    </row>
    <row r="25" customFormat="false" ht="13.2" hidden="false" customHeight="false" outlineLevel="0" collapsed="false">
      <c r="E25" s="3" t="s">
        <v>60</v>
      </c>
    </row>
    <row r="26" customFormat="false" ht="13.2" hidden="false" customHeight="false" outlineLevel="0" collapsed="false">
      <c r="E26" s="3" t="s">
        <v>61</v>
      </c>
    </row>
    <row r="29" customFormat="false" ht="17.4" hidden="false" customHeight="false" outlineLevel="0" collapsed="false">
      <c r="A29" s="36" t="s">
        <v>62</v>
      </c>
      <c r="B29" s="37"/>
    </row>
    <row r="30" customFormat="false" ht="15.6" hidden="false" customHeight="false" outlineLevel="0" collapsed="false">
      <c r="A30" s="38" t="s">
        <v>182</v>
      </c>
      <c r="B30" s="18"/>
    </row>
    <row r="31" customFormat="false" ht="14.4" hidden="false" customHeight="false" outlineLevel="0" collapsed="false">
      <c r="A31" s="39"/>
      <c r="B31" s="40" t="s">
        <v>64</v>
      </c>
    </row>
    <row r="32" customFormat="false" ht="13.8" hidden="false" customHeight="false" outlineLevel="0" collapsed="false">
      <c r="A32" s="41" t="s">
        <v>1</v>
      </c>
      <c r="B32" s="41" t="s">
        <v>65</v>
      </c>
      <c r="C32" s="41" t="s">
        <v>66</v>
      </c>
      <c r="D32" s="41" t="s">
        <v>67</v>
      </c>
      <c r="E32" s="41" t="s">
        <v>4</v>
      </c>
    </row>
    <row r="33" customFormat="false" ht="13.2" hidden="false" customHeight="false" outlineLevel="0" collapsed="false">
      <c r="A33" s="42" t="s">
        <v>246</v>
      </c>
      <c r="B33" s="2" t="s">
        <v>64</v>
      </c>
      <c r="C33" s="2" t="s">
        <v>247</v>
      </c>
      <c r="D33" s="2" t="s">
        <v>103</v>
      </c>
      <c r="E33" s="1" t="s">
        <v>248</v>
      </c>
    </row>
    <row r="34" customFormat="false" ht="13.2" hidden="false" customHeight="false" outlineLevel="0" collapsed="false">
      <c r="A34" s="42" t="s">
        <v>249</v>
      </c>
      <c r="B34" s="2" t="s">
        <v>64</v>
      </c>
      <c r="C34" s="2" t="s">
        <v>250</v>
      </c>
      <c r="D34" s="2" t="s">
        <v>216</v>
      </c>
      <c r="E34" s="1" t="s">
        <v>251</v>
      </c>
    </row>
    <row r="37" customFormat="false" ht="15.6" hidden="false" customHeight="false" outlineLevel="0" collapsed="false">
      <c r="A37" s="38" t="s">
        <v>63</v>
      </c>
      <c r="B37" s="18"/>
    </row>
    <row r="38" customFormat="false" ht="14.4" hidden="false" customHeight="false" outlineLevel="0" collapsed="false">
      <c r="A38" s="39"/>
      <c r="B38" s="40" t="s">
        <v>64</v>
      </c>
    </row>
    <row r="39" customFormat="false" ht="13.8" hidden="false" customHeight="false" outlineLevel="0" collapsed="false">
      <c r="A39" s="41" t="s">
        <v>1</v>
      </c>
      <c r="B39" s="41" t="s">
        <v>65</v>
      </c>
      <c r="C39" s="41" t="s">
        <v>66</v>
      </c>
      <c r="D39" s="41" t="s">
        <v>67</v>
      </c>
      <c r="E39" s="41" t="s">
        <v>4</v>
      </c>
    </row>
    <row r="40" customFormat="false" ht="13.2" hidden="false" customHeight="false" outlineLevel="0" collapsed="false">
      <c r="A40" s="42" t="s">
        <v>252</v>
      </c>
      <c r="B40" s="2" t="s">
        <v>64</v>
      </c>
      <c r="C40" s="2" t="s">
        <v>124</v>
      </c>
      <c r="D40" s="2" t="s">
        <v>230</v>
      </c>
      <c r="E40" s="1" t="s">
        <v>253</v>
      </c>
    </row>
    <row r="41" customFormat="false" ht="13.2" hidden="false" customHeight="false" outlineLevel="0" collapsed="false">
      <c r="A41" s="42" t="s">
        <v>254</v>
      </c>
      <c r="B41" s="2" t="s">
        <v>64</v>
      </c>
      <c r="C41" s="2" t="s">
        <v>195</v>
      </c>
      <c r="D41" s="2" t="s">
        <v>240</v>
      </c>
      <c r="E41" s="1" t="s">
        <v>255</v>
      </c>
    </row>
    <row r="42" customFormat="false" ht="13.2" hidden="false" customHeight="false" outlineLevel="0" collapsed="false">
      <c r="A42" s="42" t="s">
        <v>256</v>
      </c>
      <c r="B42" s="2" t="s">
        <v>64</v>
      </c>
      <c r="C42" s="2" t="s">
        <v>69</v>
      </c>
      <c r="D42" s="2" t="s">
        <v>230</v>
      </c>
      <c r="E42" s="1" t="s">
        <v>257</v>
      </c>
    </row>
    <row r="44" customFormat="false" ht="14.4" hidden="false" customHeight="false" outlineLevel="0" collapsed="false">
      <c r="A44" s="39"/>
      <c r="B44" s="40" t="s">
        <v>130</v>
      </c>
    </row>
    <row r="45" customFormat="false" ht="13.8" hidden="false" customHeight="false" outlineLevel="0" collapsed="false">
      <c r="A45" s="41" t="s">
        <v>1</v>
      </c>
      <c r="B45" s="41" t="s">
        <v>65</v>
      </c>
      <c r="C45" s="41" t="s">
        <v>66</v>
      </c>
      <c r="D45" s="41" t="s">
        <v>67</v>
      </c>
      <c r="E45" s="41" t="s">
        <v>4</v>
      </c>
    </row>
    <row r="46" customFormat="false" ht="13.2" hidden="false" customHeight="false" outlineLevel="0" collapsed="false">
      <c r="A46" s="42" t="s">
        <v>258</v>
      </c>
      <c r="B46" s="2" t="s">
        <v>259</v>
      </c>
      <c r="C46" s="2" t="s">
        <v>195</v>
      </c>
      <c r="D46" s="2" t="s">
        <v>155</v>
      </c>
      <c r="E46" s="1" t="s">
        <v>260</v>
      </c>
    </row>
  </sheetData>
  <mergeCells count="13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4:J14"/>
    <mergeCell ref="A17:J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9" min="7" style="2" width="4.56"/>
    <col collapsed="false" customWidth="true" hidden="false" outlineLevel="0" max="10" min="10" style="2" width="3.22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261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4"/>
      <c r="H3" s="44"/>
      <c r="I3" s="44"/>
      <c r="J3" s="44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9</v>
      </c>
      <c r="H4" s="12" t="n">
        <v>10</v>
      </c>
      <c r="I4" s="12" t="n">
        <v>11</v>
      </c>
      <c r="J4" s="12" t="n">
        <v>12</v>
      </c>
    </row>
    <row r="5" s="2" customFormat="true" ht="15.6" hidden="false" customHeight="false" outlineLevel="0" collapsed="false">
      <c r="A5" s="13" t="s">
        <v>145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262</v>
      </c>
      <c r="B6" s="15" t="s">
        <v>263</v>
      </c>
      <c r="C6" s="15" t="s">
        <v>264</v>
      </c>
      <c r="D6" s="15" t="str">
        <f aca="false">"1,0454"</f>
        <v>1,0454</v>
      </c>
      <c r="E6" s="16" t="s">
        <v>12</v>
      </c>
      <c r="F6" s="16" t="s">
        <v>29</v>
      </c>
      <c r="G6" s="15" t="s">
        <v>217</v>
      </c>
      <c r="H6" s="15" t="s">
        <v>225</v>
      </c>
      <c r="I6" s="17" t="s">
        <v>181</v>
      </c>
      <c r="J6" s="17"/>
      <c r="K6" s="15" t="s">
        <v>265</v>
      </c>
      <c r="L6" s="15" t="s">
        <v>266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83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4" t="s">
        <v>267</v>
      </c>
      <c r="B9" s="15" t="s">
        <v>268</v>
      </c>
      <c r="C9" s="15" t="s">
        <v>269</v>
      </c>
      <c r="D9" s="15" t="str">
        <f aca="false">"0,8817"</f>
        <v>0,8817</v>
      </c>
      <c r="E9" s="16" t="s">
        <v>12</v>
      </c>
      <c r="F9" s="16" t="s">
        <v>29</v>
      </c>
      <c r="G9" s="15" t="s">
        <v>270</v>
      </c>
      <c r="H9" s="15" t="s">
        <v>271</v>
      </c>
      <c r="I9" s="15" t="s">
        <v>272</v>
      </c>
      <c r="J9" s="17"/>
      <c r="K9" s="29" t="str">
        <f aca="false">"45,0"</f>
        <v>45,0</v>
      </c>
      <c r="L9" s="29" t="str">
        <f aca="false">"48,6065"</f>
        <v>48,6065</v>
      </c>
      <c r="M9" s="29"/>
    </row>
    <row r="11" customFormat="false" ht="15.6" hidden="false" customHeight="false" outlineLevel="0" collapsed="false">
      <c r="A11" s="18" t="s">
        <v>220</v>
      </c>
      <c r="B11" s="18"/>
      <c r="C11" s="18"/>
      <c r="D11" s="18"/>
      <c r="E11" s="18"/>
      <c r="F11" s="18"/>
      <c r="G11" s="18"/>
      <c r="H11" s="18"/>
      <c r="I11" s="18"/>
      <c r="J11" s="18"/>
    </row>
    <row r="12" customFormat="false" ht="13.2" hidden="false" customHeight="false" outlineLevel="0" collapsed="false">
      <c r="A12" s="19" t="s">
        <v>273</v>
      </c>
      <c r="B12" s="20" t="s">
        <v>274</v>
      </c>
      <c r="C12" s="20" t="s">
        <v>275</v>
      </c>
      <c r="D12" s="20" t="str">
        <f aca="false">"0,7522"</f>
        <v>0,7522</v>
      </c>
      <c r="E12" s="21" t="s">
        <v>12</v>
      </c>
      <c r="F12" s="21" t="s">
        <v>29</v>
      </c>
      <c r="G12" s="20" t="s">
        <v>276</v>
      </c>
      <c r="H12" s="22" t="s">
        <v>149</v>
      </c>
      <c r="I12" s="22" t="s">
        <v>149</v>
      </c>
      <c r="J12" s="22"/>
      <c r="K12" s="23" t="str">
        <f aca="false">"52,5"</f>
        <v>52,5</v>
      </c>
      <c r="L12" s="23" t="str">
        <f aca="false">"39,4905"</f>
        <v>39,4905</v>
      </c>
      <c r="M12" s="23"/>
    </row>
    <row r="13" customFormat="false" ht="13.2" hidden="false" customHeight="false" outlineLevel="0" collapsed="false">
      <c r="A13" s="30" t="s">
        <v>273</v>
      </c>
      <c r="B13" s="31" t="s">
        <v>277</v>
      </c>
      <c r="C13" s="31" t="s">
        <v>275</v>
      </c>
      <c r="D13" s="31" t="str">
        <f aca="false">"0,7522"</f>
        <v>0,7522</v>
      </c>
      <c r="E13" s="32" t="s">
        <v>12</v>
      </c>
      <c r="F13" s="32" t="s">
        <v>29</v>
      </c>
      <c r="G13" s="31" t="s">
        <v>276</v>
      </c>
      <c r="H13" s="33" t="s">
        <v>149</v>
      </c>
      <c r="I13" s="33" t="s">
        <v>149</v>
      </c>
      <c r="J13" s="33"/>
      <c r="K13" s="34" t="str">
        <f aca="false">"52,5"</f>
        <v>52,5</v>
      </c>
      <c r="L13" s="34" t="str">
        <f aca="false">"39,4905"</f>
        <v>39,4905</v>
      </c>
      <c r="M13" s="34"/>
    </row>
    <row r="14" customFormat="false" ht="13.2" hidden="false" customHeight="false" outlineLevel="0" collapsed="false">
      <c r="A14" s="24" t="s">
        <v>278</v>
      </c>
      <c r="B14" s="25" t="s">
        <v>279</v>
      </c>
      <c r="C14" s="25" t="s">
        <v>280</v>
      </c>
      <c r="D14" s="25" t="str">
        <f aca="false">"0,7484"</f>
        <v>0,7484</v>
      </c>
      <c r="E14" s="26" t="s">
        <v>12</v>
      </c>
      <c r="F14" s="26" t="s">
        <v>29</v>
      </c>
      <c r="G14" s="27" t="s">
        <v>276</v>
      </c>
      <c r="H14" s="27" t="s">
        <v>276</v>
      </c>
      <c r="I14" s="27" t="s">
        <v>276</v>
      </c>
      <c r="J14" s="27"/>
      <c r="K14" s="28" t="str">
        <f aca="false">"0.00"</f>
        <v>0.00</v>
      </c>
      <c r="L14" s="28" t="str">
        <f aca="false">"0,0000"</f>
        <v>0,0000</v>
      </c>
      <c r="M14" s="28"/>
    </row>
    <row r="16" customFormat="false" ht="15.6" hidden="false" customHeight="false" outlineLevel="0" collapsed="false">
      <c r="A16" s="18" t="s">
        <v>83</v>
      </c>
      <c r="B16" s="18"/>
      <c r="C16" s="18"/>
      <c r="D16" s="18"/>
      <c r="E16" s="18"/>
      <c r="F16" s="18"/>
      <c r="G16" s="18"/>
      <c r="H16" s="18"/>
      <c r="I16" s="18"/>
      <c r="J16" s="18"/>
    </row>
    <row r="17" customFormat="false" ht="13.2" hidden="false" customHeight="false" outlineLevel="0" collapsed="false">
      <c r="A17" s="19" t="s">
        <v>281</v>
      </c>
      <c r="B17" s="20" t="s">
        <v>282</v>
      </c>
      <c r="C17" s="20" t="s">
        <v>283</v>
      </c>
      <c r="D17" s="20" t="str">
        <f aca="false">"0,6885"</f>
        <v>0,6885</v>
      </c>
      <c r="E17" s="21" t="s">
        <v>12</v>
      </c>
      <c r="F17" s="21" t="s">
        <v>29</v>
      </c>
      <c r="G17" s="20" t="s">
        <v>284</v>
      </c>
      <c r="H17" s="20" t="s">
        <v>230</v>
      </c>
      <c r="I17" s="20" t="s">
        <v>285</v>
      </c>
      <c r="J17" s="22"/>
      <c r="K17" s="23" t="str">
        <f aca="false">"62,5"</f>
        <v>62,5</v>
      </c>
      <c r="L17" s="23" t="str">
        <f aca="false">"43,0344"</f>
        <v>43,0344</v>
      </c>
      <c r="M17" s="23"/>
    </row>
    <row r="18" customFormat="false" ht="13.2" hidden="false" customHeight="false" outlineLevel="0" collapsed="false">
      <c r="A18" s="24" t="s">
        <v>286</v>
      </c>
      <c r="B18" s="25" t="s">
        <v>287</v>
      </c>
      <c r="C18" s="25" t="s">
        <v>283</v>
      </c>
      <c r="D18" s="25" t="str">
        <f aca="false">"0,6885"</f>
        <v>0,6885</v>
      </c>
      <c r="E18" s="26" t="s">
        <v>12</v>
      </c>
      <c r="F18" s="26" t="s">
        <v>29</v>
      </c>
      <c r="G18" s="25" t="s">
        <v>230</v>
      </c>
      <c r="H18" s="25" t="s">
        <v>231</v>
      </c>
      <c r="I18" s="25" t="s">
        <v>155</v>
      </c>
      <c r="J18" s="27"/>
      <c r="K18" s="28" t="str">
        <f aca="false">"70,0"</f>
        <v>70,0</v>
      </c>
      <c r="L18" s="28" t="str">
        <f aca="false">"48,1985"</f>
        <v>48,1985</v>
      </c>
      <c r="M18" s="28"/>
    </row>
    <row r="20" customFormat="false" ht="15.6" hidden="false" customHeight="false" outlineLevel="0" collapsed="false">
      <c r="A20" s="18" t="s">
        <v>98</v>
      </c>
      <c r="B20" s="18"/>
      <c r="C20" s="18"/>
      <c r="D20" s="18"/>
      <c r="E20" s="18"/>
      <c r="F20" s="18"/>
      <c r="G20" s="18"/>
      <c r="H20" s="18"/>
      <c r="I20" s="18"/>
      <c r="J20" s="18"/>
    </row>
    <row r="21" customFormat="false" ht="13.2" hidden="false" customHeight="false" outlineLevel="0" collapsed="false">
      <c r="A21" s="14" t="s">
        <v>288</v>
      </c>
      <c r="B21" s="15" t="s">
        <v>289</v>
      </c>
      <c r="C21" s="15" t="s">
        <v>290</v>
      </c>
      <c r="D21" s="15" t="str">
        <f aca="false">"0,6482"</f>
        <v>0,6482</v>
      </c>
      <c r="E21" s="16" t="s">
        <v>12</v>
      </c>
      <c r="F21" s="16" t="s">
        <v>29</v>
      </c>
      <c r="G21" s="15" t="s">
        <v>285</v>
      </c>
      <c r="H21" s="15" t="s">
        <v>236</v>
      </c>
      <c r="I21" s="17" t="s">
        <v>231</v>
      </c>
      <c r="J21" s="17"/>
      <c r="K21" s="29" t="str">
        <f aca="false">"65,0"</f>
        <v>65,0</v>
      </c>
      <c r="L21" s="29" t="str">
        <f aca="false">"42,1330"</f>
        <v>42,1330</v>
      </c>
      <c r="M21" s="29"/>
    </row>
    <row r="23" customFormat="false" ht="15.6" hidden="false" customHeight="false" outlineLevel="0" collapsed="false">
      <c r="A23" s="18" t="s">
        <v>8</v>
      </c>
      <c r="B23" s="18"/>
      <c r="C23" s="18"/>
      <c r="D23" s="18"/>
      <c r="E23" s="18"/>
      <c r="F23" s="18"/>
      <c r="G23" s="18"/>
      <c r="H23" s="18"/>
      <c r="I23" s="18"/>
      <c r="J23" s="18"/>
    </row>
    <row r="24" customFormat="false" ht="13.2" hidden="false" customHeight="false" outlineLevel="0" collapsed="false">
      <c r="A24" s="14" t="s">
        <v>291</v>
      </c>
      <c r="B24" s="15" t="s">
        <v>292</v>
      </c>
      <c r="C24" s="15" t="s">
        <v>11</v>
      </c>
      <c r="D24" s="15" t="str">
        <f aca="false">"0,6161"</f>
        <v>0,6161</v>
      </c>
      <c r="E24" s="16" t="s">
        <v>12</v>
      </c>
      <c r="F24" s="16" t="s">
        <v>293</v>
      </c>
      <c r="G24" s="15" t="s">
        <v>141</v>
      </c>
      <c r="H24" s="17" t="s">
        <v>230</v>
      </c>
      <c r="I24" s="15" t="s">
        <v>230</v>
      </c>
      <c r="J24" s="17"/>
      <c r="K24" s="29" t="str">
        <f aca="false">"60,0"</f>
        <v>60,0</v>
      </c>
      <c r="L24" s="29" t="str">
        <f aca="false">"36,9630"</f>
        <v>36,9630</v>
      </c>
      <c r="M24" s="29"/>
    </row>
    <row r="26" customFormat="false" ht="15.6" hidden="false" customHeight="false" outlineLevel="0" collapsed="false">
      <c r="A26" s="18" t="s">
        <v>19</v>
      </c>
      <c r="B26" s="18"/>
      <c r="C26" s="18"/>
      <c r="D26" s="18"/>
      <c r="E26" s="18"/>
      <c r="F26" s="18"/>
      <c r="G26" s="18"/>
      <c r="H26" s="18"/>
      <c r="I26" s="18"/>
      <c r="J26" s="18"/>
    </row>
    <row r="27" customFormat="false" ht="13.2" hidden="false" customHeight="false" outlineLevel="0" collapsed="false">
      <c r="A27" s="14" t="s">
        <v>294</v>
      </c>
      <c r="B27" s="15" t="s">
        <v>295</v>
      </c>
      <c r="C27" s="15" t="s">
        <v>296</v>
      </c>
      <c r="D27" s="15" t="str">
        <f aca="false">"0,5889"</f>
        <v>0,5889</v>
      </c>
      <c r="E27" s="16" t="s">
        <v>12</v>
      </c>
      <c r="F27" s="16" t="s">
        <v>29</v>
      </c>
      <c r="G27" s="15" t="s">
        <v>285</v>
      </c>
      <c r="H27" s="15" t="s">
        <v>236</v>
      </c>
      <c r="I27" s="15" t="s">
        <v>231</v>
      </c>
      <c r="J27" s="17"/>
      <c r="K27" s="29" t="str">
        <f aca="false">"67,5"</f>
        <v>67,5</v>
      </c>
      <c r="L27" s="29" t="str">
        <f aca="false">"39,7474"</f>
        <v>39,7474</v>
      </c>
      <c r="M27" s="29"/>
    </row>
    <row r="29" customFormat="false" ht="15.6" hidden="false" customHeight="false" outlineLevel="0" collapsed="false">
      <c r="A29" s="18" t="s">
        <v>32</v>
      </c>
      <c r="B29" s="18"/>
      <c r="C29" s="18"/>
      <c r="D29" s="18"/>
      <c r="E29" s="18"/>
      <c r="F29" s="18"/>
      <c r="G29" s="18"/>
      <c r="H29" s="18"/>
      <c r="I29" s="18"/>
      <c r="J29" s="18"/>
    </row>
    <row r="30" customFormat="false" ht="13.2" hidden="false" customHeight="false" outlineLevel="0" collapsed="false">
      <c r="A30" s="14" t="s">
        <v>297</v>
      </c>
      <c r="B30" s="15" t="s">
        <v>298</v>
      </c>
      <c r="C30" s="15" t="s">
        <v>299</v>
      </c>
      <c r="D30" s="15" t="str">
        <f aca="false">"0,5695"</f>
        <v>0,5695</v>
      </c>
      <c r="E30" s="16" t="s">
        <v>12</v>
      </c>
      <c r="F30" s="16" t="s">
        <v>300</v>
      </c>
      <c r="G30" s="15" t="s">
        <v>276</v>
      </c>
      <c r="H30" s="15" t="s">
        <v>149</v>
      </c>
      <c r="I30" s="15" t="s">
        <v>284</v>
      </c>
      <c r="J30" s="17"/>
      <c r="K30" s="29" t="str">
        <f aca="false">"57,5"</f>
        <v>57,5</v>
      </c>
      <c r="L30" s="29" t="str">
        <f aca="false">"43,0651"</f>
        <v>43,0651</v>
      </c>
      <c r="M30" s="29"/>
    </row>
    <row r="32" customFormat="false" ht="15" hidden="false" customHeight="false" outlineLevel="0" collapsed="false">
      <c r="E32" s="35" t="s">
        <v>56</v>
      </c>
    </row>
    <row r="33" customFormat="false" ht="15" hidden="false" customHeight="false" outlineLevel="0" collapsed="false">
      <c r="E33" s="35" t="s">
        <v>57</v>
      </c>
    </row>
    <row r="34" customFormat="false" ht="15" hidden="false" customHeight="false" outlineLevel="0" collapsed="false">
      <c r="E34" s="35" t="s">
        <v>58</v>
      </c>
    </row>
    <row r="35" customFormat="false" ht="13.2" hidden="false" customHeight="false" outlineLevel="0" collapsed="false">
      <c r="E35" s="3" t="s">
        <v>59</v>
      </c>
    </row>
    <row r="36" customFormat="false" ht="13.2" hidden="false" customHeight="false" outlineLevel="0" collapsed="false">
      <c r="E36" s="3" t="s">
        <v>60</v>
      </c>
    </row>
    <row r="37" customFormat="false" ht="13.2" hidden="false" customHeight="false" outlineLevel="0" collapsed="false">
      <c r="E37" s="3" t="s">
        <v>61</v>
      </c>
    </row>
    <row r="40" customFormat="false" ht="17.4" hidden="false" customHeight="false" outlineLevel="0" collapsed="false">
      <c r="A40" s="36" t="s">
        <v>62</v>
      </c>
      <c r="B40" s="37"/>
    </row>
    <row r="41" customFormat="false" ht="15.6" hidden="false" customHeight="false" outlineLevel="0" collapsed="false">
      <c r="A41" s="38" t="s">
        <v>182</v>
      </c>
      <c r="B41" s="18"/>
    </row>
    <row r="42" customFormat="false" ht="14.4" hidden="false" customHeight="false" outlineLevel="0" collapsed="false">
      <c r="A42" s="39"/>
      <c r="B42" s="40" t="s">
        <v>64</v>
      </c>
    </row>
    <row r="43" customFormat="false" ht="13.8" hidden="false" customHeight="false" outlineLevel="0" collapsed="false">
      <c r="A43" s="41" t="s">
        <v>1</v>
      </c>
      <c r="B43" s="41" t="s">
        <v>65</v>
      </c>
      <c r="C43" s="41" t="s">
        <v>66</v>
      </c>
      <c r="D43" s="41" t="s">
        <v>67</v>
      </c>
      <c r="E43" s="41" t="s">
        <v>4</v>
      </c>
    </row>
    <row r="44" customFormat="false" ht="13.2" hidden="false" customHeight="false" outlineLevel="0" collapsed="false">
      <c r="A44" s="42" t="s">
        <v>301</v>
      </c>
      <c r="B44" s="2" t="s">
        <v>64</v>
      </c>
      <c r="C44" s="2" t="s">
        <v>188</v>
      </c>
      <c r="D44" s="2" t="s">
        <v>225</v>
      </c>
      <c r="E44" s="1" t="s">
        <v>302</v>
      </c>
    </row>
    <row r="46" customFormat="false" ht="14.4" hidden="false" customHeight="false" outlineLevel="0" collapsed="false">
      <c r="A46" s="39"/>
      <c r="B46" s="40" t="s">
        <v>130</v>
      </c>
    </row>
    <row r="47" customFormat="false" ht="13.8" hidden="false" customHeight="false" outlineLevel="0" collapsed="false">
      <c r="A47" s="41" t="s">
        <v>1</v>
      </c>
      <c r="B47" s="41" t="s">
        <v>65</v>
      </c>
      <c r="C47" s="41" t="s">
        <v>66</v>
      </c>
      <c r="D47" s="41" t="s">
        <v>67</v>
      </c>
      <c r="E47" s="41" t="s">
        <v>4</v>
      </c>
    </row>
    <row r="48" customFormat="false" ht="13.2" hidden="false" customHeight="false" outlineLevel="0" collapsed="false">
      <c r="A48" s="42" t="s">
        <v>303</v>
      </c>
      <c r="B48" s="2" t="s">
        <v>304</v>
      </c>
      <c r="C48" s="2" t="s">
        <v>124</v>
      </c>
      <c r="D48" s="2" t="s">
        <v>272</v>
      </c>
      <c r="E48" s="1" t="s">
        <v>305</v>
      </c>
    </row>
    <row r="51" customFormat="false" ht="15.6" hidden="false" customHeight="false" outlineLevel="0" collapsed="false">
      <c r="A51" s="38" t="s">
        <v>63</v>
      </c>
      <c r="B51" s="18"/>
    </row>
    <row r="52" customFormat="false" ht="14.4" hidden="false" customHeight="false" outlineLevel="0" collapsed="false">
      <c r="A52" s="39"/>
      <c r="B52" s="40" t="s">
        <v>114</v>
      </c>
    </row>
    <row r="53" customFormat="false" ht="13.8" hidden="false" customHeight="false" outlineLevel="0" collapsed="false">
      <c r="A53" s="41" t="s">
        <v>1</v>
      </c>
      <c r="B53" s="41" t="s">
        <v>65</v>
      </c>
      <c r="C53" s="41" t="s">
        <v>66</v>
      </c>
      <c r="D53" s="41" t="s">
        <v>67</v>
      </c>
      <c r="E53" s="41" t="s">
        <v>4</v>
      </c>
    </row>
    <row r="54" customFormat="false" ht="13.2" hidden="false" customHeight="false" outlineLevel="0" collapsed="false">
      <c r="A54" s="42" t="s">
        <v>306</v>
      </c>
      <c r="B54" s="2" t="s">
        <v>307</v>
      </c>
      <c r="C54" s="2" t="s">
        <v>124</v>
      </c>
      <c r="D54" s="2" t="s">
        <v>285</v>
      </c>
      <c r="E54" s="1" t="s">
        <v>308</v>
      </c>
    </row>
    <row r="56" customFormat="false" ht="14.4" hidden="false" customHeight="false" outlineLevel="0" collapsed="false">
      <c r="A56" s="39"/>
      <c r="B56" s="40" t="s">
        <v>309</v>
      </c>
    </row>
    <row r="57" customFormat="false" ht="13.8" hidden="false" customHeight="false" outlineLevel="0" collapsed="false">
      <c r="A57" s="41" t="s">
        <v>1</v>
      </c>
      <c r="B57" s="41" t="s">
        <v>65</v>
      </c>
      <c r="C57" s="41" t="s">
        <v>66</v>
      </c>
      <c r="D57" s="41" t="s">
        <v>67</v>
      </c>
      <c r="E57" s="41" t="s">
        <v>4</v>
      </c>
    </row>
    <row r="58" customFormat="false" ht="13.2" hidden="false" customHeight="false" outlineLevel="0" collapsed="false">
      <c r="A58" s="42" t="s">
        <v>310</v>
      </c>
      <c r="B58" s="2" t="s">
        <v>311</v>
      </c>
      <c r="C58" s="2" t="s">
        <v>124</v>
      </c>
      <c r="D58" s="2" t="s">
        <v>155</v>
      </c>
      <c r="E58" s="1" t="s">
        <v>312</v>
      </c>
    </row>
    <row r="60" customFormat="false" ht="14.4" hidden="false" customHeight="false" outlineLevel="0" collapsed="false">
      <c r="A60" s="39"/>
      <c r="B60" s="40" t="s">
        <v>64</v>
      </c>
    </row>
    <row r="61" customFormat="false" ht="13.8" hidden="false" customHeight="false" outlineLevel="0" collapsed="false">
      <c r="A61" s="41" t="s">
        <v>1</v>
      </c>
      <c r="B61" s="41" t="s">
        <v>65</v>
      </c>
      <c r="C61" s="41" t="s">
        <v>66</v>
      </c>
      <c r="D61" s="41" t="s">
        <v>67</v>
      </c>
      <c r="E61" s="41" t="s">
        <v>4</v>
      </c>
    </row>
    <row r="62" customFormat="false" ht="13.2" hidden="false" customHeight="false" outlineLevel="0" collapsed="false">
      <c r="A62" s="42" t="s">
        <v>313</v>
      </c>
      <c r="B62" s="2" t="s">
        <v>64</v>
      </c>
      <c r="C62" s="2" t="s">
        <v>120</v>
      </c>
      <c r="D62" s="2" t="s">
        <v>236</v>
      </c>
      <c r="E62" s="1" t="s">
        <v>314</v>
      </c>
    </row>
    <row r="63" customFormat="false" ht="13.2" hidden="false" customHeight="false" outlineLevel="0" collapsed="false">
      <c r="A63" s="42" t="s">
        <v>315</v>
      </c>
      <c r="B63" s="2" t="s">
        <v>64</v>
      </c>
      <c r="C63" s="2" t="s">
        <v>77</v>
      </c>
      <c r="D63" s="2" t="s">
        <v>231</v>
      </c>
      <c r="E63" s="1" t="s">
        <v>316</v>
      </c>
    </row>
    <row r="64" customFormat="false" ht="13.2" hidden="false" customHeight="false" outlineLevel="0" collapsed="false">
      <c r="A64" s="42" t="s">
        <v>317</v>
      </c>
      <c r="B64" s="2" t="s">
        <v>64</v>
      </c>
      <c r="C64" s="2" t="s">
        <v>247</v>
      </c>
      <c r="D64" s="2" t="s">
        <v>276</v>
      </c>
      <c r="E64" s="1" t="s">
        <v>318</v>
      </c>
    </row>
    <row r="66" customFormat="false" ht="14.4" hidden="false" customHeight="false" outlineLevel="0" collapsed="false">
      <c r="A66" s="39"/>
      <c r="B66" s="40" t="s">
        <v>130</v>
      </c>
    </row>
    <row r="67" customFormat="false" ht="13.8" hidden="false" customHeight="false" outlineLevel="0" collapsed="false">
      <c r="A67" s="41" t="s">
        <v>1</v>
      </c>
      <c r="B67" s="41" t="s">
        <v>65</v>
      </c>
      <c r="C67" s="41" t="s">
        <v>66</v>
      </c>
      <c r="D67" s="41" t="s">
        <v>67</v>
      </c>
      <c r="E67" s="41" t="s">
        <v>4</v>
      </c>
    </row>
    <row r="68" customFormat="false" ht="13.2" hidden="false" customHeight="false" outlineLevel="0" collapsed="false">
      <c r="A68" s="42" t="s">
        <v>319</v>
      </c>
      <c r="B68" s="2" t="s">
        <v>304</v>
      </c>
      <c r="C68" s="2" t="s">
        <v>195</v>
      </c>
      <c r="D68" s="2" t="s">
        <v>284</v>
      </c>
      <c r="E68" s="1" t="s">
        <v>320</v>
      </c>
    </row>
    <row r="69" customFormat="false" ht="13.2" hidden="false" customHeight="false" outlineLevel="0" collapsed="false">
      <c r="A69" s="42" t="s">
        <v>317</v>
      </c>
      <c r="B69" s="2" t="s">
        <v>259</v>
      </c>
      <c r="C69" s="2" t="s">
        <v>247</v>
      </c>
      <c r="D69" s="2" t="s">
        <v>276</v>
      </c>
      <c r="E69" s="1" t="s">
        <v>318</v>
      </c>
    </row>
    <row r="70" customFormat="false" ht="13.2" hidden="false" customHeight="false" outlineLevel="0" collapsed="false">
      <c r="A70" s="42" t="s">
        <v>321</v>
      </c>
      <c r="B70" s="2" t="s">
        <v>259</v>
      </c>
      <c r="C70" s="2" t="s">
        <v>69</v>
      </c>
      <c r="D70" s="2" t="s">
        <v>230</v>
      </c>
      <c r="E70" s="1" t="s">
        <v>322</v>
      </c>
    </row>
  </sheetData>
  <mergeCells count="16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6:J16"/>
    <mergeCell ref="A20:J20"/>
    <mergeCell ref="A23:J23"/>
    <mergeCell ref="A26:J26"/>
    <mergeCell ref="A29:J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19.12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10" min="7" style="2" width="5.55"/>
    <col collapsed="false" customWidth="true" hidden="false" outlineLevel="0" max="11" min="11" style="4" width="8"/>
    <col collapsed="false" customWidth="true" hidden="false" outlineLevel="0" max="12" min="12" style="4" width="10.99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323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4"/>
      <c r="H3" s="44"/>
      <c r="I3" s="44"/>
      <c r="J3" s="44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9</v>
      </c>
      <c r="H4" s="12" t="n">
        <v>10</v>
      </c>
      <c r="I4" s="12" t="n">
        <v>11</v>
      </c>
      <c r="J4" s="12" t="n">
        <v>12</v>
      </c>
    </row>
    <row r="5" s="2" customFormat="true" ht="15.6" hidden="false" customHeight="false" outlineLevel="0" collapsed="false">
      <c r="A5" s="13" t="s">
        <v>136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324</v>
      </c>
      <c r="B6" s="15" t="s">
        <v>325</v>
      </c>
      <c r="C6" s="15" t="s">
        <v>326</v>
      </c>
      <c r="D6" s="15" t="str">
        <f aca="false">"1,1144"</f>
        <v>1,1144</v>
      </c>
      <c r="E6" s="16" t="s">
        <v>12</v>
      </c>
      <c r="F6" s="16" t="s">
        <v>327</v>
      </c>
      <c r="G6" s="15" t="s">
        <v>328</v>
      </c>
      <c r="H6" s="15" t="s">
        <v>329</v>
      </c>
      <c r="I6" s="15" t="s">
        <v>330</v>
      </c>
      <c r="J6" s="15" t="s">
        <v>331</v>
      </c>
      <c r="K6" s="15" t="s">
        <v>332</v>
      </c>
      <c r="L6" s="15" t="s">
        <v>333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" hidden="false" customHeight="false" outlineLevel="0" collapsed="false">
      <c r="E8" s="35" t="s">
        <v>56</v>
      </c>
    </row>
    <row r="9" customFormat="false" ht="15" hidden="false" customHeight="false" outlineLevel="0" collapsed="false">
      <c r="E9" s="35" t="s">
        <v>57</v>
      </c>
    </row>
    <row r="10" customFormat="false" ht="15" hidden="false" customHeight="false" outlineLevel="0" collapsed="false">
      <c r="E10" s="35" t="s">
        <v>58</v>
      </c>
    </row>
    <row r="11" customFormat="false" ht="13.2" hidden="false" customHeight="false" outlineLevel="0" collapsed="false">
      <c r="E11" s="3" t="s">
        <v>59</v>
      </c>
    </row>
    <row r="12" customFormat="false" ht="13.2" hidden="false" customHeight="false" outlineLevel="0" collapsed="false">
      <c r="E12" s="3" t="s">
        <v>60</v>
      </c>
    </row>
    <row r="13" customFormat="false" ht="13.2" hidden="false" customHeight="false" outlineLevel="0" collapsed="false">
      <c r="E13" s="3" t="s">
        <v>61</v>
      </c>
    </row>
    <row r="16" customFormat="false" ht="17.4" hidden="false" customHeight="false" outlineLevel="0" collapsed="false">
      <c r="A16" s="36" t="s">
        <v>62</v>
      </c>
      <c r="B16" s="37"/>
    </row>
    <row r="17" customFormat="false" ht="15.6" hidden="false" customHeight="false" outlineLevel="0" collapsed="false">
      <c r="A17" s="38" t="s">
        <v>182</v>
      </c>
      <c r="B17" s="18"/>
    </row>
    <row r="18" customFormat="false" ht="14.4" hidden="false" customHeight="false" outlineLevel="0" collapsed="false">
      <c r="A18" s="39"/>
      <c r="B18" s="40" t="s">
        <v>64</v>
      </c>
    </row>
    <row r="19" customFormat="false" ht="13.8" hidden="false" customHeight="false" outlineLevel="0" collapsed="false">
      <c r="A19" s="41" t="s">
        <v>1</v>
      </c>
      <c r="B19" s="41" t="s">
        <v>65</v>
      </c>
      <c r="C19" s="41" t="s">
        <v>66</v>
      </c>
      <c r="D19" s="41" t="s">
        <v>67</v>
      </c>
      <c r="E19" s="41" t="s">
        <v>4</v>
      </c>
    </row>
    <row r="20" customFormat="false" ht="13.2" hidden="false" customHeight="false" outlineLevel="0" collapsed="false">
      <c r="A20" s="42" t="s">
        <v>334</v>
      </c>
      <c r="B20" s="2" t="s">
        <v>64</v>
      </c>
      <c r="C20" s="2" t="s">
        <v>184</v>
      </c>
      <c r="D20" s="2" t="s">
        <v>330</v>
      </c>
      <c r="E20" s="1" t="s">
        <v>335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4.11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9" min="7" style="2" width="5.55"/>
    <col collapsed="false" customWidth="true" hidden="false" outlineLevel="0" max="10" min="10" style="2" width="3.22"/>
    <col collapsed="false" customWidth="true" hidden="false" outlineLevel="0" max="11" min="11" style="4" width="8"/>
    <col collapsed="false" customWidth="true" hidden="false" outlineLevel="0" max="12" min="12" style="4" width="10.99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336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4"/>
      <c r="H3" s="44"/>
      <c r="I3" s="44"/>
      <c r="J3" s="44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9</v>
      </c>
      <c r="H4" s="12" t="n">
        <v>10</v>
      </c>
      <c r="I4" s="12" t="n">
        <v>11</v>
      </c>
      <c r="J4" s="12" t="n">
        <v>12</v>
      </c>
    </row>
    <row r="5" s="2" customFormat="true" ht="15.6" hidden="false" customHeight="false" outlineLevel="0" collapsed="false">
      <c r="A5" s="13" t="s">
        <v>211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337</v>
      </c>
      <c r="B6" s="15" t="s">
        <v>338</v>
      </c>
      <c r="C6" s="15" t="s">
        <v>339</v>
      </c>
      <c r="D6" s="15" t="str">
        <f aca="false">"0,8396"</f>
        <v>0,8396</v>
      </c>
      <c r="E6" s="16" t="s">
        <v>12</v>
      </c>
      <c r="F6" s="16" t="s">
        <v>340</v>
      </c>
      <c r="G6" s="15" t="s">
        <v>341</v>
      </c>
      <c r="H6" s="15" t="s">
        <v>342</v>
      </c>
      <c r="I6" s="17" t="s">
        <v>343</v>
      </c>
      <c r="J6" s="17"/>
      <c r="K6" s="15" t="s">
        <v>344</v>
      </c>
      <c r="L6" s="15" t="s">
        <v>345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98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4" t="s">
        <v>346</v>
      </c>
      <c r="B9" s="15" t="s">
        <v>347</v>
      </c>
      <c r="C9" s="15" t="s">
        <v>348</v>
      </c>
      <c r="D9" s="15" t="str">
        <f aca="false">"0,6529"</f>
        <v>0,6529</v>
      </c>
      <c r="E9" s="16" t="s">
        <v>12</v>
      </c>
      <c r="F9" s="16" t="s">
        <v>340</v>
      </c>
      <c r="G9" s="15" t="s">
        <v>349</v>
      </c>
      <c r="H9" s="15" t="s">
        <v>350</v>
      </c>
      <c r="I9" s="17" t="s">
        <v>351</v>
      </c>
      <c r="J9" s="17"/>
      <c r="K9" s="29" t="str">
        <f aca="false">"172,5"</f>
        <v>172,5</v>
      </c>
      <c r="L9" s="29" t="str">
        <f aca="false">"112,6252"</f>
        <v>112,6252</v>
      </c>
      <c r="M9" s="29"/>
    </row>
    <row r="11" customFormat="false" ht="15.6" hidden="false" customHeight="false" outlineLevel="0" collapsed="false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</row>
    <row r="12" customFormat="false" ht="13.2" hidden="false" customHeight="false" outlineLevel="0" collapsed="false">
      <c r="A12" s="14" t="s">
        <v>352</v>
      </c>
      <c r="B12" s="15" t="s">
        <v>353</v>
      </c>
      <c r="C12" s="15" t="s">
        <v>106</v>
      </c>
      <c r="D12" s="15" t="str">
        <f aca="false">"0,6326"</f>
        <v>0,6326</v>
      </c>
      <c r="E12" s="16" t="s">
        <v>12</v>
      </c>
      <c r="F12" s="16" t="s">
        <v>340</v>
      </c>
      <c r="G12" s="15" t="s">
        <v>354</v>
      </c>
      <c r="H12" s="17" t="s">
        <v>355</v>
      </c>
      <c r="I12" s="17" t="s">
        <v>356</v>
      </c>
      <c r="J12" s="17"/>
      <c r="K12" s="29" t="str">
        <f aca="false">"180,0"</f>
        <v>180,0</v>
      </c>
      <c r="L12" s="29" t="str">
        <f aca="false">"113,8680"</f>
        <v>113,8680</v>
      </c>
      <c r="M12" s="29"/>
    </row>
    <row r="14" customFormat="false" ht="15.6" hidden="false" customHeight="false" outlineLevel="0" collapsed="false">
      <c r="A14" s="18" t="s">
        <v>19</v>
      </c>
      <c r="B14" s="18"/>
      <c r="C14" s="18"/>
      <c r="D14" s="18"/>
      <c r="E14" s="18"/>
      <c r="F14" s="18"/>
      <c r="G14" s="18"/>
      <c r="H14" s="18"/>
      <c r="I14" s="18"/>
      <c r="J14" s="18"/>
    </row>
    <row r="15" customFormat="false" ht="13.2" hidden="false" customHeight="false" outlineLevel="0" collapsed="false">
      <c r="A15" s="14" t="s">
        <v>357</v>
      </c>
      <c r="B15" s="15" t="s">
        <v>358</v>
      </c>
      <c r="C15" s="15" t="s">
        <v>359</v>
      </c>
      <c r="D15" s="15" t="str">
        <f aca="false">"0,5929"</f>
        <v>0,5929</v>
      </c>
      <c r="E15" s="16" t="s">
        <v>12</v>
      </c>
      <c r="F15" s="16" t="s">
        <v>340</v>
      </c>
      <c r="G15" s="15" t="s">
        <v>360</v>
      </c>
      <c r="H15" s="17" t="s">
        <v>361</v>
      </c>
      <c r="I15" s="17" t="s">
        <v>361</v>
      </c>
      <c r="J15" s="17"/>
      <c r="K15" s="29" t="str">
        <f aca="false">"230,0"</f>
        <v>230,0</v>
      </c>
      <c r="L15" s="29" t="str">
        <f aca="false">"136,3555"</f>
        <v>136,3555</v>
      </c>
      <c r="M15" s="29"/>
    </row>
    <row r="17" customFormat="false" ht="15" hidden="false" customHeight="false" outlineLevel="0" collapsed="false">
      <c r="E17" s="35" t="s">
        <v>56</v>
      </c>
    </row>
    <row r="18" customFormat="false" ht="15" hidden="false" customHeight="false" outlineLevel="0" collapsed="false">
      <c r="E18" s="35" t="s">
        <v>57</v>
      </c>
    </row>
    <row r="19" customFormat="false" ht="15" hidden="false" customHeight="false" outlineLevel="0" collapsed="false">
      <c r="E19" s="35" t="s">
        <v>58</v>
      </c>
    </row>
    <row r="20" customFormat="false" ht="13.2" hidden="false" customHeight="false" outlineLevel="0" collapsed="false">
      <c r="E20" s="3" t="s">
        <v>59</v>
      </c>
    </row>
    <row r="21" customFormat="false" ht="13.2" hidden="false" customHeight="false" outlineLevel="0" collapsed="false">
      <c r="E21" s="3" t="s">
        <v>60</v>
      </c>
    </row>
    <row r="22" customFormat="false" ht="13.2" hidden="false" customHeight="false" outlineLevel="0" collapsed="false">
      <c r="E22" s="3" t="s">
        <v>61</v>
      </c>
    </row>
    <row r="25" customFormat="false" ht="17.4" hidden="false" customHeight="false" outlineLevel="0" collapsed="false">
      <c r="A25" s="36" t="s">
        <v>62</v>
      </c>
      <c r="B25" s="37"/>
    </row>
    <row r="26" customFormat="false" ht="15.6" hidden="false" customHeight="false" outlineLevel="0" collapsed="false">
      <c r="A26" s="38" t="s">
        <v>63</v>
      </c>
      <c r="B26" s="18"/>
    </row>
    <row r="27" customFormat="false" ht="14.4" hidden="false" customHeight="false" outlineLevel="0" collapsed="false">
      <c r="A27" s="39"/>
      <c r="B27" s="40" t="s">
        <v>114</v>
      </c>
    </row>
    <row r="28" customFormat="false" ht="13.8" hidden="false" customHeight="false" outlineLevel="0" collapsed="false">
      <c r="A28" s="41" t="s">
        <v>1</v>
      </c>
      <c r="B28" s="41" t="s">
        <v>65</v>
      </c>
      <c r="C28" s="41" t="s">
        <v>66</v>
      </c>
      <c r="D28" s="41" t="s">
        <v>67</v>
      </c>
      <c r="E28" s="41" t="s">
        <v>4</v>
      </c>
    </row>
    <row r="29" customFormat="false" ht="13.2" hidden="false" customHeight="false" outlineLevel="0" collapsed="false">
      <c r="A29" s="42" t="s">
        <v>362</v>
      </c>
      <c r="B29" s="2" t="s">
        <v>307</v>
      </c>
      <c r="C29" s="2" t="s">
        <v>250</v>
      </c>
      <c r="D29" s="2" t="s">
        <v>342</v>
      </c>
      <c r="E29" s="1" t="s">
        <v>363</v>
      </c>
    </row>
    <row r="31" customFormat="false" ht="14.4" hidden="false" customHeight="false" outlineLevel="0" collapsed="false">
      <c r="A31" s="39"/>
      <c r="B31" s="40" t="s">
        <v>64</v>
      </c>
    </row>
    <row r="32" customFormat="false" ht="13.8" hidden="false" customHeight="false" outlineLevel="0" collapsed="false">
      <c r="A32" s="41" t="s">
        <v>1</v>
      </c>
      <c r="B32" s="41" t="s">
        <v>65</v>
      </c>
      <c r="C32" s="41" t="s">
        <v>66</v>
      </c>
      <c r="D32" s="41" t="s">
        <v>67</v>
      </c>
      <c r="E32" s="41" t="s">
        <v>4</v>
      </c>
    </row>
    <row r="33" customFormat="false" ht="13.2" hidden="false" customHeight="false" outlineLevel="0" collapsed="false">
      <c r="A33" s="42" t="s">
        <v>364</v>
      </c>
      <c r="B33" s="2" t="s">
        <v>64</v>
      </c>
      <c r="C33" s="2" t="s">
        <v>77</v>
      </c>
      <c r="D33" s="2" t="s">
        <v>360</v>
      </c>
      <c r="E33" s="1" t="s">
        <v>365</v>
      </c>
    </row>
    <row r="34" customFormat="false" ht="13.2" hidden="false" customHeight="false" outlineLevel="0" collapsed="false">
      <c r="A34" s="42" t="s">
        <v>366</v>
      </c>
      <c r="B34" s="2" t="s">
        <v>64</v>
      </c>
      <c r="C34" s="2" t="s">
        <v>69</v>
      </c>
      <c r="D34" s="2" t="s">
        <v>354</v>
      </c>
      <c r="E34" s="1" t="s">
        <v>367</v>
      </c>
    </row>
    <row r="35" customFormat="false" ht="13.2" hidden="false" customHeight="false" outlineLevel="0" collapsed="false">
      <c r="A35" s="42" t="s">
        <v>368</v>
      </c>
      <c r="B35" s="2" t="s">
        <v>64</v>
      </c>
      <c r="C35" s="2" t="s">
        <v>120</v>
      </c>
      <c r="D35" s="2" t="s">
        <v>350</v>
      </c>
      <c r="E35" s="1" t="s">
        <v>369</v>
      </c>
    </row>
  </sheetData>
  <mergeCells count="12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4:J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88"/>
    <col collapsed="false" customWidth="true" hidden="false" outlineLevel="0" max="9" min="7" style="2" width="5.55"/>
    <col collapsed="false" customWidth="true" hidden="false" outlineLevel="0" max="10" min="10" style="2" width="3.22"/>
    <col collapsed="false" customWidth="true" hidden="false" outlineLevel="0" max="11" min="11" style="4" width="8"/>
    <col collapsed="false" customWidth="true" hidden="false" outlineLevel="0" max="12" min="12" style="4" width="10.99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370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4"/>
      <c r="H3" s="44"/>
      <c r="I3" s="44"/>
      <c r="J3" s="44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9</v>
      </c>
      <c r="H4" s="12" t="n">
        <v>10</v>
      </c>
      <c r="I4" s="12" t="n">
        <v>11</v>
      </c>
      <c r="J4" s="12" t="n">
        <v>12</v>
      </c>
    </row>
    <row r="5" s="2" customFormat="true" ht="15.6" hidden="false" customHeight="false" outlineLevel="0" collapsed="false">
      <c r="A5" s="13" t="s">
        <v>371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372</v>
      </c>
      <c r="B6" s="15" t="s">
        <v>373</v>
      </c>
      <c r="C6" s="15" t="s">
        <v>374</v>
      </c>
      <c r="D6" s="15" t="str">
        <f aca="false">"1,2019"</f>
        <v>1,2019</v>
      </c>
      <c r="E6" s="16" t="s">
        <v>12</v>
      </c>
      <c r="F6" s="16" t="s">
        <v>375</v>
      </c>
      <c r="G6" s="15" t="s">
        <v>180</v>
      </c>
      <c r="H6" s="15" t="s">
        <v>376</v>
      </c>
      <c r="I6" s="15" t="s">
        <v>328</v>
      </c>
      <c r="J6" s="17"/>
      <c r="K6" s="15" t="s">
        <v>377</v>
      </c>
      <c r="L6" s="15" t="s">
        <v>378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8" t="s">
        <v>145</v>
      </c>
      <c r="B8" s="18"/>
      <c r="C8" s="18"/>
      <c r="D8" s="18"/>
      <c r="E8" s="18"/>
      <c r="F8" s="18"/>
      <c r="G8" s="18"/>
      <c r="H8" s="18"/>
      <c r="I8" s="18"/>
      <c r="J8" s="18"/>
    </row>
    <row r="9" customFormat="false" ht="13.2" hidden="false" customHeight="false" outlineLevel="0" collapsed="false">
      <c r="A9" s="19" t="s">
        <v>379</v>
      </c>
      <c r="B9" s="20" t="s">
        <v>380</v>
      </c>
      <c r="C9" s="20" t="s">
        <v>381</v>
      </c>
      <c r="D9" s="20" t="str">
        <f aca="false">"1,0484"</f>
        <v>1,0484</v>
      </c>
      <c r="E9" s="21" t="s">
        <v>12</v>
      </c>
      <c r="F9" s="21" t="s">
        <v>382</v>
      </c>
      <c r="G9" s="20" t="s">
        <v>341</v>
      </c>
      <c r="H9" s="20" t="s">
        <v>383</v>
      </c>
      <c r="I9" s="20" t="s">
        <v>384</v>
      </c>
      <c r="J9" s="22"/>
      <c r="K9" s="23" t="str">
        <f aca="false">"157,5"</f>
        <v>157,5</v>
      </c>
      <c r="L9" s="23" t="str">
        <f aca="false">"165,1230"</f>
        <v>165,1230</v>
      </c>
      <c r="M9" s="23"/>
    </row>
    <row r="10" customFormat="false" ht="13.2" hidden="false" customHeight="false" outlineLevel="0" collapsed="false">
      <c r="A10" s="24" t="s">
        <v>385</v>
      </c>
      <c r="B10" s="25" t="s">
        <v>263</v>
      </c>
      <c r="C10" s="25" t="s">
        <v>264</v>
      </c>
      <c r="D10" s="25" t="str">
        <f aca="false">"1,0454"</f>
        <v>1,0454</v>
      </c>
      <c r="E10" s="26" t="s">
        <v>12</v>
      </c>
      <c r="F10" s="26" t="s">
        <v>29</v>
      </c>
      <c r="G10" s="27" t="s">
        <v>329</v>
      </c>
      <c r="H10" s="27" t="s">
        <v>386</v>
      </c>
      <c r="I10" s="25" t="s">
        <v>386</v>
      </c>
      <c r="J10" s="27"/>
      <c r="K10" s="28" t="str">
        <f aca="false">"140,0"</f>
        <v>140,0</v>
      </c>
      <c r="L10" s="28" t="str">
        <f aca="false">"146,3560"</f>
        <v>146,3560</v>
      </c>
      <c r="M10" s="28"/>
    </row>
    <row r="12" customFormat="false" ht="15.6" hidden="false" customHeight="false" outlineLevel="0" collapsed="false">
      <c r="A12" s="18" t="s">
        <v>211</v>
      </c>
      <c r="B12" s="18"/>
      <c r="C12" s="18"/>
      <c r="D12" s="18"/>
      <c r="E12" s="18"/>
      <c r="F12" s="18"/>
      <c r="G12" s="18"/>
      <c r="H12" s="18"/>
      <c r="I12" s="18"/>
      <c r="J12" s="18"/>
    </row>
    <row r="13" customFormat="false" ht="13.2" hidden="false" customHeight="false" outlineLevel="0" collapsed="false">
      <c r="A13" s="14" t="s">
        <v>387</v>
      </c>
      <c r="B13" s="15" t="s">
        <v>388</v>
      </c>
      <c r="C13" s="15" t="s">
        <v>389</v>
      </c>
      <c r="D13" s="15" t="str">
        <f aca="false">"0,9889"</f>
        <v>0,9889</v>
      </c>
      <c r="E13" s="16" t="s">
        <v>12</v>
      </c>
      <c r="F13" s="16" t="s">
        <v>29</v>
      </c>
      <c r="G13" s="17" t="s">
        <v>170</v>
      </c>
      <c r="H13" s="15" t="s">
        <v>390</v>
      </c>
      <c r="I13" s="17" t="s">
        <v>391</v>
      </c>
      <c r="J13" s="17"/>
      <c r="K13" s="29" t="str">
        <f aca="false">"110,0"</f>
        <v>110,0</v>
      </c>
      <c r="L13" s="29" t="str">
        <f aca="false">"108,7790"</f>
        <v>108,7790</v>
      </c>
      <c r="M13" s="29"/>
    </row>
    <row r="15" customFormat="false" ht="15.6" hidden="false" customHeight="false" outlineLevel="0" collapsed="false">
      <c r="A15" s="18" t="s">
        <v>220</v>
      </c>
      <c r="B15" s="18"/>
      <c r="C15" s="18"/>
      <c r="D15" s="18"/>
      <c r="E15" s="18"/>
      <c r="F15" s="18"/>
      <c r="G15" s="18"/>
      <c r="H15" s="18"/>
      <c r="I15" s="18"/>
      <c r="J15" s="18"/>
    </row>
    <row r="16" customFormat="false" ht="13.2" hidden="false" customHeight="false" outlineLevel="0" collapsed="false">
      <c r="A16" s="14" t="s">
        <v>392</v>
      </c>
      <c r="B16" s="15" t="s">
        <v>393</v>
      </c>
      <c r="C16" s="15" t="s">
        <v>394</v>
      </c>
      <c r="D16" s="15" t="str">
        <f aca="false">"0,9255"</f>
        <v>0,9255</v>
      </c>
      <c r="E16" s="16" t="s">
        <v>12</v>
      </c>
      <c r="F16" s="16" t="s">
        <v>29</v>
      </c>
      <c r="G16" s="17" t="s">
        <v>170</v>
      </c>
      <c r="H16" s="15" t="s">
        <v>170</v>
      </c>
      <c r="I16" s="15" t="s">
        <v>328</v>
      </c>
      <c r="J16" s="17"/>
      <c r="K16" s="29" t="str">
        <f aca="false">"117,5"</f>
        <v>117,5</v>
      </c>
      <c r="L16" s="29" t="str">
        <f aca="false">"112,1174"</f>
        <v>112,1174</v>
      </c>
      <c r="M16" s="29"/>
    </row>
    <row r="18" customFormat="false" ht="15.6" hidden="false" customHeight="false" outlineLevel="0" collapsed="false">
      <c r="A18" s="18" t="s">
        <v>145</v>
      </c>
      <c r="B18" s="18"/>
      <c r="C18" s="18"/>
      <c r="D18" s="18"/>
      <c r="E18" s="18"/>
      <c r="F18" s="18"/>
      <c r="G18" s="18"/>
      <c r="H18" s="18"/>
      <c r="I18" s="18"/>
      <c r="J18" s="18"/>
    </row>
    <row r="19" customFormat="false" ht="13.2" hidden="false" customHeight="false" outlineLevel="0" collapsed="false">
      <c r="A19" s="19" t="s">
        <v>395</v>
      </c>
      <c r="B19" s="20" t="s">
        <v>396</v>
      </c>
      <c r="C19" s="20" t="s">
        <v>397</v>
      </c>
      <c r="D19" s="20" t="str">
        <f aca="false">"0,9061"</f>
        <v>0,9061</v>
      </c>
      <c r="E19" s="21" t="s">
        <v>12</v>
      </c>
      <c r="F19" s="21" t="s">
        <v>29</v>
      </c>
      <c r="G19" s="22" t="s">
        <v>398</v>
      </c>
      <c r="H19" s="20" t="s">
        <v>398</v>
      </c>
      <c r="I19" s="20" t="s">
        <v>342</v>
      </c>
      <c r="J19" s="22"/>
      <c r="K19" s="23" t="str">
        <f aca="false">"162,5"</f>
        <v>162,5</v>
      </c>
      <c r="L19" s="23" t="str">
        <f aca="false">"147,2331"</f>
        <v>147,2331</v>
      </c>
      <c r="M19" s="23"/>
    </row>
    <row r="20" customFormat="false" ht="13.2" hidden="false" customHeight="false" outlineLevel="0" collapsed="false">
      <c r="A20" s="24" t="s">
        <v>399</v>
      </c>
      <c r="B20" s="25" t="s">
        <v>400</v>
      </c>
      <c r="C20" s="25" t="s">
        <v>264</v>
      </c>
      <c r="D20" s="25" t="str">
        <f aca="false">"0,8942"</f>
        <v>0,8942</v>
      </c>
      <c r="E20" s="26" t="s">
        <v>12</v>
      </c>
      <c r="F20" s="26" t="s">
        <v>401</v>
      </c>
      <c r="G20" s="25" t="s">
        <v>402</v>
      </c>
      <c r="H20" s="25" t="s">
        <v>403</v>
      </c>
      <c r="I20" s="27" t="s">
        <v>404</v>
      </c>
      <c r="J20" s="27"/>
      <c r="K20" s="28" t="str">
        <f aca="false">"180,0"</f>
        <v>180,0</v>
      </c>
      <c r="L20" s="28" t="str">
        <f aca="false">"160,9560"</f>
        <v>160,9560</v>
      </c>
      <c r="M20" s="28"/>
    </row>
    <row r="22" customFormat="false" ht="15.6" hidden="false" customHeight="false" outlineLevel="0" collapsed="false">
      <c r="A22" s="18" t="s">
        <v>220</v>
      </c>
      <c r="B22" s="18"/>
      <c r="C22" s="18"/>
      <c r="D22" s="18"/>
      <c r="E22" s="18"/>
      <c r="F22" s="18"/>
      <c r="G22" s="18"/>
      <c r="H22" s="18"/>
      <c r="I22" s="18"/>
      <c r="J22" s="18"/>
    </row>
    <row r="23" customFormat="false" ht="13.2" hidden="false" customHeight="false" outlineLevel="0" collapsed="false">
      <c r="A23" s="14" t="s">
        <v>405</v>
      </c>
      <c r="B23" s="15" t="s">
        <v>406</v>
      </c>
      <c r="C23" s="15" t="s">
        <v>407</v>
      </c>
      <c r="D23" s="15" t="str">
        <f aca="false">"0,7551"</f>
        <v>0,7551</v>
      </c>
      <c r="E23" s="16" t="s">
        <v>12</v>
      </c>
      <c r="F23" s="16" t="s">
        <v>29</v>
      </c>
      <c r="G23" s="15" t="s">
        <v>408</v>
      </c>
      <c r="H23" s="15" t="s">
        <v>409</v>
      </c>
      <c r="I23" s="15" t="s">
        <v>402</v>
      </c>
      <c r="J23" s="17"/>
      <c r="K23" s="29" t="str">
        <f aca="false">"170,0"</f>
        <v>170,0</v>
      </c>
      <c r="L23" s="29" t="str">
        <f aca="false">"128,3670"</f>
        <v>128,3670</v>
      </c>
      <c r="M23" s="29"/>
    </row>
    <row r="25" customFormat="false" ht="15.6" hidden="false" customHeight="false" outlineLevel="0" collapsed="false">
      <c r="A25" s="18" t="s">
        <v>83</v>
      </c>
      <c r="B25" s="18"/>
      <c r="C25" s="18"/>
      <c r="D25" s="18"/>
      <c r="E25" s="18"/>
      <c r="F25" s="18"/>
      <c r="G25" s="18"/>
      <c r="H25" s="18"/>
      <c r="I25" s="18"/>
      <c r="J25" s="18"/>
    </row>
    <row r="26" customFormat="false" ht="13.2" hidden="false" customHeight="false" outlineLevel="0" collapsed="false">
      <c r="A26" s="19" t="s">
        <v>410</v>
      </c>
      <c r="B26" s="20" t="s">
        <v>411</v>
      </c>
      <c r="C26" s="20" t="s">
        <v>412</v>
      </c>
      <c r="D26" s="20" t="str">
        <f aca="false">"0,7064"</f>
        <v>0,7064</v>
      </c>
      <c r="E26" s="21" t="s">
        <v>12</v>
      </c>
      <c r="F26" s="21" t="s">
        <v>29</v>
      </c>
      <c r="G26" s="20" t="s">
        <v>413</v>
      </c>
      <c r="H26" s="20" t="s">
        <v>343</v>
      </c>
      <c r="I26" s="20" t="s">
        <v>356</v>
      </c>
      <c r="J26" s="22"/>
      <c r="K26" s="23" t="str">
        <f aca="false">"202,5"</f>
        <v>202,5</v>
      </c>
      <c r="L26" s="23" t="str">
        <f aca="false">"143,0460"</f>
        <v>143,0460</v>
      </c>
      <c r="M26" s="23"/>
    </row>
    <row r="27" customFormat="false" ht="13.2" hidden="false" customHeight="false" outlineLevel="0" collapsed="false">
      <c r="A27" s="24" t="s">
        <v>414</v>
      </c>
      <c r="B27" s="25" t="s">
        <v>415</v>
      </c>
      <c r="C27" s="25" t="s">
        <v>416</v>
      </c>
      <c r="D27" s="25" t="str">
        <f aca="false">"0,6913"</f>
        <v>0,6913</v>
      </c>
      <c r="E27" s="26" t="s">
        <v>12</v>
      </c>
      <c r="F27" s="26" t="s">
        <v>29</v>
      </c>
      <c r="G27" s="25" t="s">
        <v>356</v>
      </c>
      <c r="H27" s="27" t="s">
        <v>417</v>
      </c>
      <c r="I27" s="27" t="s">
        <v>417</v>
      </c>
      <c r="J27" s="27"/>
      <c r="K27" s="28" t="str">
        <f aca="false">"202,5"</f>
        <v>202,5</v>
      </c>
      <c r="L27" s="28" t="str">
        <f aca="false">"139,9781"</f>
        <v>139,9781</v>
      </c>
      <c r="M27" s="28"/>
    </row>
    <row r="29" customFormat="false" ht="15.6" hidden="false" customHeight="false" outlineLevel="0" collapsed="false">
      <c r="A29" s="18" t="s">
        <v>98</v>
      </c>
      <c r="B29" s="18"/>
      <c r="C29" s="18"/>
      <c r="D29" s="18"/>
      <c r="E29" s="18"/>
      <c r="F29" s="18"/>
      <c r="G29" s="18"/>
      <c r="H29" s="18"/>
      <c r="I29" s="18"/>
      <c r="J29" s="18"/>
    </row>
    <row r="30" customFormat="false" ht="13.2" hidden="false" customHeight="false" outlineLevel="0" collapsed="false">
      <c r="A30" s="19" t="s">
        <v>418</v>
      </c>
      <c r="B30" s="20" t="s">
        <v>419</v>
      </c>
      <c r="C30" s="20" t="s">
        <v>420</v>
      </c>
      <c r="D30" s="20" t="str">
        <f aca="false">"0,6497"</f>
        <v>0,6497</v>
      </c>
      <c r="E30" s="21" t="s">
        <v>12</v>
      </c>
      <c r="F30" s="21" t="s">
        <v>375</v>
      </c>
      <c r="G30" s="20" t="s">
        <v>24</v>
      </c>
      <c r="H30" s="22" t="s">
        <v>25</v>
      </c>
      <c r="I30" s="20" t="s">
        <v>25</v>
      </c>
      <c r="J30" s="22"/>
      <c r="K30" s="23" t="str">
        <f aca="false">"255,0"</f>
        <v>255,0</v>
      </c>
      <c r="L30" s="23" t="str">
        <f aca="false">"165,6862"</f>
        <v>165,6862</v>
      </c>
      <c r="M30" s="23"/>
    </row>
    <row r="31" customFormat="false" ht="13.2" hidden="false" customHeight="false" outlineLevel="0" collapsed="false">
      <c r="A31" s="30" t="s">
        <v>421</v>
      </c>
      <c r="B31" s="31" t="s">
        <v>289</v>
      </c>
      <c r="C31" s="31" t="s">
        <v>290</v>
      </c>
      <c r="D31" s="31" t="str">
        <f aca="false">"0,6482"</f>
        <v>0,6482</v>
      </c>
      <c r="E31" s="32" t="s">
        <v>12</v>
      </c>
      <c r="F31" s="32" t="s">
        <v>29</v>
      </c>
      <c r="G31" s="31" t="s">
        <v>351</v>
      </c>
      <c r="H31" s="31" t="s">
        <v>422</v>
      </c>
      <c r="I31" s="31" t="s">
        <v>423</v>
      </c>
      <c r="J31" s="33"/>
      <c r="K31" s="34" t="str">
        <f aca="false">"207,5"</f>
        <v>207,5</v>
      </c>
      <c r="L31" s="34" t="str">
        <f aca="false">"134,5015"</f>
        <v>134,5015</v>
      </c>
      <c r="M31" s="34"/>
    </row>
    <row r="32" customFormat="false" ht="13.2" hidden="false" customHeight="false" outlineLevel="0" collapsed="false">
      <c r="A32" s="24" t="s">
        <v>424</v>
      </c>
      <c r="B32" s="25" t="s">
        <v>425</v>
      </c>
      <c r="C32" s="25" t="s">
        <v>348</v>
      </c>
      <c r="D32" s="25" t="str">
        <f aca="false">"0,6529"</f>
        <v>0,6529</v>
      </c>
      <c r="E32" s="26" t="s">
        <v>426</v>
      </c>
      <c r="F32" s="26" t="s">
        <v>29</v>
      </c>
      <c r="G32" s="25" t="s">
        <v>383</v>
      </c>
      <c r="H32" s="25" t="s">
        <v>402</v>
      </c>
      <c r="I32" s="25" t="s">
        <v>343</v>
      </c>
      <c r="J32" s="27"/>
      <c r="K32" s="28" t="str">
        <f aca="false">"185,0"</f>
        <v>185,0</v>
      </c>
      <c r="L32" s="28" t="str">
        <f aca="false">"120,7865"</f>
        <v>120,7865</v>
      </c>
      <c r="M32" s="28"/>
    </row>
    <row r="34" customFormat="false" ht="15.6" hidden="false" customHeight="false" outlineLevel="0" collapsed="false">
      <c r="A34" s="18" t="s">
        <v>8</v>
      </c>
      <c r="B34" s="18"/>
      <c r="C34" s="18"/>
      <c r="D34" s="18"/>
      <c r="E34" s="18"/>
      <c r="F34" s="18"/>
      <c r="G34" s="18"/>
      <c r="H34" s="18"/>
      <c r="I34" s="18"/>
      <c r="J34" s="18"/>
    </row>
    <row r="35" customFormat="false" ht="13.2" hidden="false" customHeight="false" outlineLevel="0" collapsed="false">
      <c r="A35" s="19" t="s">
        <v>427</v>
      </c>
      <c r="B35" s="20" t="s">
        <v>428</v>
      </c>
      <c r="C35" s="20" t="s">
        <v>429</v>
      </c>
      <c r="D35" s="20" t="str">
        <f aca="false">"0,6197"</f>
        <v>0,6197</v>
      </c>
      <c r="E35" s="21" t="s">
        <v>12</v>
      </c>
      <c r="F35" s="21" t="s">
        <v>107</v>
      </c>
      <c r="G35" s="20" t="s">
        <v>354</v>
      </c>
      <c r="H35" s="20" t="s">
        <v>351</v>
      </c>
      <c r="I35" s="20" t="s">
        <v>430</v>
      </c>
      <c r="J35" s="22"/>
      <c r="K35" s="23" t="str">
        <f aca="false">"200,0"</f>
        <v>200,0</v>
      </c>
      <c r="L35" s="23" t="str">
        <f aca="false">"123,9400"</f>
        <v>123,9400</v>
      </c>
      <c r="M35" s="23"/>
    </row>
    <row r="36" customFormat="false" ht="13.2" hidden="false" customHeight="false" outlineLevel="0" collapsed="false">
      <c r="A36" s="24" t="s">
        <v>431</v>
      </c>
      <c r="B36" s="25" t="s">
        <v>432</v>
      </c>
      <c r="C36" s="25" t="s">
        <v>433</v>
      </c>
      <c r="D36" s="25" t="str">
        <f aca="false">"0,6122"</f>
        <v>0,6122</v>
      </c>
      <c r="E36" s="26" t="s">
        <v>12</v>
      </c>
      <c r="F36" s="26" t="s">
        <v>29</v>
      </c>
      <c r="G36" s="27" t="s">
        <v>42</v>
      </c>
      <c r="H36" s="27" t="s">
        <v>434</v>
      </c>
      <c r="I36" s="27" t="s">
        <v>435</v>
      </c>
      <c r="J36" s="27"/>
      <c r="K36" s="28" t="str">
        <f aca="false">"0.00"</f>
        <v>0.00</v>
      </c>
      <c r="L36" s="28" t="str">
        <f aca="false">"0,0000"</f>
        <v>0,0000</v>
      </c>
      <c r="M36" s="28"/>
    </row>
    <row r="38" customFormat="false" ht="15.6" hidden="false" customHeight="false" outlineLevel="0" collapsed="false">
      <c r="A38" s="18" t="s">
        <v>19</v>
      </c>
      <c r="B38" s="18"/>
      <c r="C38" s="18"/>
      <c r="D38" s="18"/>
      <c r="E38" s="18"/>
      <c r="F38" s="18"/>
      <c r="G38" s="18"/>
      <c r="H38" s="18"/>
      <c r="I38" s="18"/>
      <c r="J38" s="18"/>
    </row>
    <row r="39" customFormat="false" ht="13.2" hidden="false" customHeight="false" outlineLevel="0" collapsed="false">
      <c r="A39" s="14" t="s">
        <v>436</v>
      </c>
      <c r="B39" s="15" t="s">
        <v>437</v>
      </c>
      <c r="C39" s="15" t="s">
        <v>438</v>
      </c>
      <c r="D39" s="15" t="str">
        <f aca="false">"0,5870"</f>
        <v>0,5870</v>
      </c>
      <c r="E39" s="16" t="s">
        <v>12</v>
      </c>
      <c r="F39" s="16" t="s">
        <v>29</v>
      </c>
      <c r="G39" s="15" t="s">
        <v>355</v>
      </c>
      <c r="H39" s="15" t="s">
        <v>356</v>
      </c>
      <c r="I39" s="15" t="s">
        <v>423</v>
      </c>
      <c r="J39" s="17"/>
      <c r="K39" s="29" t="str">
        <f aca="false">"207,5"</f>
        <v>207,5</v>
      </c>
      <c r="L39" s="29" t="str">
        <f aca="false">"121,7921"</f>
        <v>121,7921</v>
      </c>
      <c r="M39" s="29"/>
    </row>
    <row r="41" customFormat="false" ht="15.6" hidden="false" customHeight="false" outlineLevel="0" collapsed="false">
      <c r="A41" s="18" t="s">
        <v>38</v>
      </c>
      <c r="B41" s="18"/>
      <c r="C41" s="18"/>
      <c r="D41" s="18"/>
      <c r="E41" s="18"/>
      <c r="F41" s="18"/>
      <c r="G41" s="18"/>
      <c r="H41" s="18"/>
      <c r="I41" s="18"/>
      <c r="J41" s="18"/>
    </row>
    <row r="42" customFormat="false" ht="13.2" hidden="false" customHeight="false" outlineLevel="0" collapsed="false">
      <c r="A42" s="14" t="s">
        <v>439</v>
      </c>
      <c r="B42" s="15" t="s">
        <v>440</v>
      </c>
      <c r="C42" s="15" t="s">
        <v>441</v>
      </c>
      <c r="D42" s="15" t="str">
        <f aca="false">"0,5509"</f>
        <v>0,5509</v>
      </c>
      <c r="E42" s="16" t="s">
        <v>12</v>
      </c>
      <c r="F42" s="16" t="s">
        <v>29</v>
      </c>
      <c r="G42" s="15" t="s">
        <v>354</v>
      </c>
      <c r="H42" s="15" t="s">
        <v>355</v>
      </c>
      <c r="I42" s="15" t="s">
        <v>430</v>
      </c>
      <c r="J42" s="17"/>
      <c r="K42" s="29" t="str">
        <f aca="false">"200,0"</f>
        <v>200,0</v>
      </c>
      <c r="L42" s="29" t="str">
        <f aca="false">"163,0812"</f>
        <v>163,0812</v>
      </c>
      <c r="M42" s="29"/>
    </row>
    <row r="44" customFormat="false" ht="15" hidden="false" customHeight="false" outlineLevel="0" collapsed="false">
      <c r="E44" s="35" t="s">
        <v>56</v>
      </c>
    </row>
    <row r="45" customFormat="false" ht="15" hidden="false" customHeight="false" outlineLevel="0" collapsed="false">
      <c r="E45" s="35" t="s">
        <v>57</v>
      </c>
    </row>
    <row r="46" customFormat="false" ht="15" hidden="false" customHeight="false" outlineLevel="0" collapsed="false">
      <c r="E46" s="35" t="s">
        <v>58</v>
      </c>
    </row>
    <row r="47" customFormat="false" ht="13.2" hidden="false" customHeight="false" outlineLevel="0" collapsed="false">
      <c r="E47" s="3" t="s">
        <v>59</v>
      </c>
    </row>
    <row r="48" customFormat="false" ht="13.2" hidden="false" customHeight="false" outlineLevel="0" collapsed="false">
      <c r="E48" s="3" t="s">
        <v>60</v>
      </c>
    </row>
    <row r="49" customFormat="false" ht="13.2" hidden="false" customHeight="false" outlineLevel="0" collapsed="false">
      <c r="E49" s="3" t="s">
        <v>61</v>
      </c>
    </row>
    <row r="52" customFormat="false" ht="17.4" hidden="false" customHeight="false" outlineLevel="0" collapsed="false">
      <c r="A52" s="36" t="s">
        <v>62</v>
      </c>
      <c r="B52" s="37"/>
    </row>
    <row r="53" customFormat="false" ht="15.6" hidden="false" customHeight="false" outlineLevel="0" collapsed="false">
      <c r="A53" s="38" t="s">
        <v>182</v>
      </c>
      <c r="B53" s="18"/>
    </row>
    <row r="54" customFormat="false" ht="14.4" hidden="false" customHeight="false" outlineLevel="0" collapsed="false">
      <c r="A54" s="39"/>
      <c r="B54" s="40" t="s">
        <v>64</v>
      </c>
    </row>
    <row r="55" customFormat="false" ht="13.8" hidden="false" customHeight="false" outlineLevel="0" collapsed="false">
      <c r="A55" s="41" t="s">
        <v>1</v>
      </c>
      <c r="B55" s="41" t="s">
        <v>65</v>
      </c>
      <c r="C55" s="41" t="s">
        <v>66</v>
      </c>
      <c r="D55" s="41" t="s">
        <v>67</v>
      </c>
      <c r="E55" s="41" t="s">
        <v>4</v>
      </c>
    </row>
    <row r="56" customFormat="false" ht="13.2" hidden="false" customHeight="false" outlineLevel="0" collapsed="false">
      <c r="A56" s="42" t="s">
        <v>442</v>
      </c>
      <c r="B56" s="2" t="s">
        <v>64</v>
      </c>
      <c r="C56" s="2" t="s">
        <v>188</v>
      </c>
      <c r="D56" s="2" t="s">
        <v>384</v>
      </c>
      <c r="E56" s="1" t="s">
        <v>443</v>
      </c>
    </row>
    <row r="57" customFormat="false" ht="13.2" hidden="false" customHeight="false" outlineLevel="0" collapsed="false">
      <c r="A57" s="42" t="s">
        <v>301</v>
      </c>
      <c r="B57" s="2" t="s">
        <v>64</v>
      </c>
      <c r="C57" s="2" t="s">
        <v>188</v>
      </c>
      <c r="D57" s="2" t="s">
        <v>386</v>
      </c>
      <c r="E57" s="1" t="s">
        <v>444</v>
      </c>
    </row>
    <row r="58" customFormat="false" ht="13.2" hidden="false" customHeight="false" outlineLevel="0" collapsed="false">
      <c r="A58" s="42" t="s">
        <v>445</v>
      </c>
      <c r="B58" s="2" t="s">
        <v>64</v>
      </c>
      <c r="C58" s="2" t="s">
        <v>446</v>
      </c>
      <c r="D58" s="2" t="s">
        <v>328</v>
      </c>
      <c r="E58" s="1" t="s">
        <v>447</v>
      </c>
    </row>
    <row r="59" customFormat="false" ht="13.2" hidden="false" customHeight="false" outlineLevel="0" collapsed="false">
      <c r="A59" s="42" t="s">
        <v>448</v>
      </c>
      <c r="B59" s="2" t="s">
        <v>64</v>
      </c>
      <c r="C59" s="2" t="s">
        <v>250</v>
      </c>
      <c r="D59" s="2" t="s">
        <v>390</v>
      </c>
      <c r="E59" s="1" t="s">
        <v>449</v>
      </c>
    </row>
    <row r="61" customFormat="false" ht="14.4" hidden="false" customHeight="false" outlineLevel="0" collapsed="false">
      <c r="A61" s="39"/>
      <c r="B61" s="40" t="s">
        <v>130</v>
      </c>
    </row>
    <row r="62" customFormat="false" ht="13.8" hidden="false" customHeight="false" outlineLevel="0" collapsed="false">
      <c r="A62" s="41" t="s">
        <v>1</v>
      </c>
      <c r="B62" s="41" t="s">
        <v>65</v>
      </c>
      <c r="C62" s="41" t="s">
        <v>66</v>
      </c>
      <c r="D62" s="41" t="s">
        <v>67</v>
      </c>
      <c r="E62" s="41" t="s">
        <v>4</v>
      </c>
    </row>
    <row r="63" customFormat="false" ht="13.2" hidden="false" customHeight="false" outlineLevel="0" collapsed="false">
      <c r="A63" s="42" t="s">
        <v>450</v>
      </c>
      <c r="B63" s="2" t="s">
        <v>259</v>
      </c>
      <c r="C63" s="2" t="s">
        <v>247</v>
      </c>
      <c r="D63" s="2" t="s">
        <v>328</v>
      </c>
      <c r="E63" s="1" t="s">
        <v>451</v>
      </c>
    </row>
    <row r="66" customFormat="false" ht="15.6" hidden="false" customHeight="false" outlineLevel="0" collapsed="false">
      <c r="A66" s="38" t="s">
        <v>63</v>
      </c>
      <c r="B66" s="18"/>
    </row>
    <row r="67" customFormat="false" ht="14.4" hidden="false" customHeight="false" outlineLevel="0" collapsed="false">
      <c r="A67" s="39"/>
      <c r="B67" s="40" t="s">
        <v>114</v>
      </c>
    </row>
    <row r="68" customFormat="false" ht="13.8" hidden="false" customHeight="false" outlineLevel="0" collapsed="false">
      <c r="A68" s="41" t="s">
        <v>1</v>
      </c>
      <c r="B68" s="41" t="s">
        <v>65</v>
      </c>
      <c r="C68" s="41" t="s">
        <v>66</v>
      </c>
      <c r="D68" s="41" t="s">
        <v>67</v>
      </c>
      <c r="E68" s="41" t="s">
        <v>4</v>
      </c>
    </row>
    <row r="69" customFormat="false" ht="13.2" hidden="false" customHeight="false" outlineLevel="0" collapsed="false">
      <c r="A69" s="42" t="s">
        <v>452</v>
      </c>
      <c r="B69" s="2" t="s">
        <v>307</v>
      </c>
      <c r="C69" s="2" t="s">
        <v>188</v>
      </c>
      <c r="D69" s="2" t="s">
        <v>342</v>
      </c>
      <c r="E69" s="1" t="s">
        <v>453</v>
      </c>
    </row>
    <row r="71" customFormat="false" ht="14.4" hidden="false" customHeight="false" outlineLevel="0" collapsed="false">
      <c r="A71" s="39"/>
      <c r="B71" s="40" t="s">
        <v>309</v>
      </c>
    </row>
    <row r="72" customFormat="false" ht="13.8" hidden="false" customHeight="false" outlineLevel="0" collapsed="false">
      <c r="A72" s="41" t="s">
        <v>1</v>
      </c>
      <c r="B72" s="41" t="s">
        <v>65</v>
      </c>
      <c r="C72" s="41" t="s">
        <v>66</v>
      </c>
      <c r="D72" s="41" t="s">
        <v>67</v>
      </c>
      <c r="E72" s="41" t="s">
        <v>4</v>
      </c>
    </row>
    <row r="73" customFormat="false" ht="13.2" hidden="false" customHeight="false" outlineLevel="0" collapsed="false">
      <c r="A73" s="42" t="s">
        <v>454</v>
      </c>
      <c r="B73" s="2" t="s">
        <v>311</v>
      </c>
      <c r="C73" s="2" t="s">
        <v>124</v>
      </c>
      <c r="D73" s="2" t="s">
        <v>356</v>
      </c>
      <c r="E73" s="1" t="s">
        <v>455</v>
      </c>
    </row>
    <row r="74" customFormat="false" ht="13.2" hidden="false" customHeight="false" outlineLevel="0" collapsed="false">
      <c r="A74" s="42" t="s">
        <v>456</v>
      </c>
      <c r="B74" s="2" t="s">
        <v>311</v>
      </c>
      <c r="C74" s="2" t="s">
        <v>69</v>
      </c>
      <c r="D74" s="2" t="s">
        <v>430</v>
      </c>
      <c r="E74" s="1" t="s">
        <v>457</v>
      </c>
    </row>
    <row r="75" customFormat="false" ht="13.2" hidden="false" customHeight="false" outlineLevel="0" collapsed="false">
      <c r="A75" s="42" t="s">
        <v>458</v>
      </c>
      <c r="B75" s="2" t="s">
        <v>311</v>
      </c>
      <c r="C75" s="2" t="s">
        <v>77</v>
      </c>
      <c r="D75" s="2" t="s">
        <v>423</v>
      </c>
      <c r="E75" s="1" t="s">
        <v>459</v>
      </c>
    </row>
    <row r="77" customFormat="false" ht="14.4" hidden="false" customHeight="false" outlineLevel="0" collapsed="false">
      <c r="A77" s="39"/>
      <c r="B77" s="40" t="s">
        <v>64</v>
      </c>
    </row>
    <row r="78" customFormat="false" ht="13.8" hidden="false" customHeight="false" outlineLevel="0" collapsed="false">
      <c r="A78" s="41" t="s">
        <v>1</v>
      </c>
      <c r="B78" s="41" t="s">
        <v>65</v>
      </c>
      <c r="C78" s="41" t="s">
        <v>66</v>
      </c>
      <c r="D78" s="41" t="s">
        <v>67</v>
      </c>
      <c r="E78" s="41" t="s">
        <v>4</v>
      </c>
    </row>
    <row r="79" customFormat="false" ht="13.2" hidden="false" customHeight="false" outlineLevel="0" collapsed="false">
      <c r="A79" s="42" t="s">
        <v>460</v>
      </c>
      <c r="B79" s="2" t="s">
        <v>64</v>
      </c>
      <c r="C79" s="2" t="s">
        <v>120</v>
      </c>
      <c r="D79" s="2" t="s">
        <v>25</v>
      </c>
      <c r="E79" s="1" t="s">
        <v>461</v>
      </c>
    </row>
    <row r="80" customFormat="false" ht="13.2" hidden="false" customHeight="false" outlineLevel="0" collapsed="false">
      <c r="A80" s="42" t="s">
        <v>462</v>
      </c>
      <c r="B80" s="2" t="s">
        <v>64</v>
      </c>
      <c r="C80" s="2" t="s">
        <v>188</v>
      </c>
      <c r="D80" s="2" t="s">
        <v>354</v>
      </c>
      <c r="E80" s="1" t="s">
        <v>463</v>
      </c>
    </row>
    <row r="81" customFormat="false" ht="13.2" hidden="false" customHeight="false" outlineLevel="0" collapsed="false">
      <c r="A81" s="42" t="s">
        <v>464</v>
      </c>
      <c r="B81" s="2" t="s">
        <v>64</v>
      </c>
      <c r="C81" s="2" t="s">
        <v>124</v>
      </c>
      <c r="D81" s="2" t="s">
        <v>356</v>
      </c>
      <c r="E81" s="1" t="s">
        <v>465</v>
      </c>
    </row>
    <row r="82" customFormat="false" ht="13.2" hidden="false" customHeight="false" outlineLevel="0" collapsed="false">
      <c r="A82" s="42" t="s">
        <v>313</v>
      </c>
      <c r="B82" s="2" t="s">
        <v>64</v>
      </c>
      <c r="C82" s="2" t="s">
        <v>120</v>
      </c>
      <c r="D82" s="2" t="s">
        <v>423</v>
      </c>
      <c r="E82" s="1" t="s">
        <v>466</v>
      </c>
    </row>
    <row r="83" customFormat="false" ht="13.2" hidden="false" customHeight="false" outlineLevel="0" collapsed="false">
      <c r="A83" s="42" t="s">
        <v>467</v>
      </c>
      <c r="B83" s="2" t="s">
        <v>64</v>
      </c>
      <c r="C83" s="2" t="s">
        <v>247</v>
      </c>
      <c r="D83" s="2" t="s">
        <v>402</v>
      </c>
      <c r="E83" s="1" t="s">
        <v>468</v>
      </c>
    </row>
    <row r="84" customFormat="false" ht="13.2" hidden="false" customHeight="false" outlineLevel="0" collapsed="false">
      <c r="A84" s="42" t="s">
        <v>469</v>
      </c>
      <c r="B84" s="2" t="s">
        <v>64</v>
      </c>
      <c r="C84" s="2" t="s">
        <v>120</v>
      </c>
      <c r="D84" s="2" t="s">
        <v>343</v>
      </c>
      <c r="E84" s="1" t="s">
        <v>470</v>
      </c>
    </row>
    <row r="86" customFormat="false" ht="14.4" hidden="false" customHeight="false" outlineLevel="0" collapsed="false">
      <c r="A86" s="39"/>
      <c r="B86" s="40" t="s">
        <v>130</v>
      </c>
    </row>
    <row r="87" customFormat="false" ht="13.8" hidden="false" customHeight="false" outlineLevel="0" collapsed="false">
      <c r="A87" s="41" t="s">
        <v>1</v>
      </c>
      <c r="B87" s="41" t="s">
        <v>65</v>
      </c>
      <c r="C87" s="41" t="s">
        <v>66</v>
      </c>
      <c r="D87" s="41" t="s">
        <v>67</v>
      </c>
      <c r="E87" s="41" t="s">
        <v>4</v>
      </c>
    </row>
    <row r="88" customFormat="false" ht="13.2" hidden="false" customHeight="false" outlineLevel="0" collapsed="false">
      <c r="A88" s="42" t="s">
        <v>471</v>
      </c>
      <c r="B88" s="2" t="s">
        <v>472</v>
      </c>
      <c r="C88" s="2" t="s">
        <v>72</v>
      </c>
      <c r="D88" s="2" t="s">
        <v>430</v>
      </c>
      <c r="E88" s="1" t="s">
        <v>473</v>
      </c>
    </row>
  </sheetData>
  <mergeCells count="19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2:J12"/>
    <mergeCell ref="A15:J15"/>
    <mergeCell ref="A18:J18"/>
    <mergeCell ref="A22:J22"/>
    <mergeCell ref="A25:J25"/>
    <mergeCell ref="A29:J29"/>
    <mergeCell ref="A34:J34"/>
    <mergeCell ref="A38:J38"/>
    <mergeCell ref="A41:J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9" min="7" style="2" width="5.55"/>
    <col collapsed="false" customWidth="true" hidden="false" outlineLevel="0" max="10" min="10" style="2" width="3.22"/>
    <col collapsed="false" customWidth="true" hidden="false" outlineLevel="0" max="11" min="11" style="4" width="8"/>
    <col collapsed="false" customWidth="true" hidden="false" outlineLevel="0" max="12" min="12" style="4" width="10.99"/>
    <col collapsed="false" customWidth="false" hidden="false" outlineLevel="0" max="1024" min="13" style="4" width="9.13"/>
  </cols>
  <sheetData>
    <row r="1" customFormat="false" ht="28.95" hidden="false" customHeight="true" outlineLevel="0" collapsed="false">
      <c r="A1" s="5" t="s">
        <v>474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44"/>
      <c r="H3" s="44"/>
      <c r="I3" s="44"/>
      <c r="J3" s="44"/>
      <c r="K3" s="11" t="s">
        <v>7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9</v>
      </c>
      <c r="H4" s="12" t="n">
        <v>10</v>
      </c>
      <c r="I4" s="12" t="n">
        <v>11</v>
      </c>
      <c r="J4" s="12" t="n">
        <v>12</v>
      </c>
    </row>
    <row r="5" s="2" customFormat="true" ht="15.6" hidden="false" customHeight="false" outlineLevel="0" collapsed="false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475</v>
      </c>
      <c r="B6" s="15" t="s">
        <v>476</v>
      </c>
      <c r="C6" s="15" t="s">
        <v>477</v>
      </c>
      <c r="D6" s="15" t="str">
        <f aca="false">"0,6165"</f>
        <v>0,6165</v>
      </c>
      <c r="E6" s="16" t="s">
        <v>12</v>
      </c>
      <c r="F6" s="16" t="s">
        <v>29</v>
      </c>
      <c r="G6" s="15" t="s">
        <v>355</v>
      </c>
      <c r="H6" s="15" t="s">
        <v>430</v>
      </c>
      <c r="I6" s="17" t="s">
        <v>423</v>
      </c>
      <c r="J6" s="17"/>
      <c r="K6" s="15" t="s">
        <v>478</v>
      </c>
      <c r="L6" s="15" t="s">
        <v>479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" hidden="false" customHeight="false" outlineLevel="0" collapsed="false">
      <c r="E8" s="35" t="s">
        <v>56</v>
      </c>
    </row>
    <row r="9" customFormat="false" ht="15" hidden="false" customHeight="false" outlineLevel="0" collapsed="false">
      <c r="E9" s="35" t="s">
        <v>57</v>
      </c>
    </row>
    <row r="10" customFormat="false" ht="15" hidden="false" customHeight="false" outlineLevel="0" collapsed="false">
      <c r="E10" s="35" t="s">
        <v>58</v>
      </c>
    </row>
    <row r="11" customFormat="false" ht="13.2" hidden="false" customHeight="false" outlineLevel="0" collapsed="false">
      <c r="E11" s="3" t="s">
        <v>59</v>
      </c>
    </row>
    <row r="12" customFormat="false" ht="13.2" hidden="false" customHeight="false" outlineLevel="0" collapsed="false">
      <c r="E12" s="3" t="s">
        <v>60</v>
      </c>
    </row>
    <row r="13" customFormat="false" ht="13.2" hidden="false" customHeight="false" outlineLevel="0" collapsed="false">
      <c r="E13" s="3" t="s">
        <v>61</v>
      </c>
    </row>
    <row r="16" customFormat="false" ht="17.4" hidden="false" customHeight="false" outlineLevel="0" collapsed="false">
      <c r="A16" s="36" t="s">
        <v>62</v>
      </c>
      <c r="B16" s="37"/>
    </row>
    <row r="17" customFormat="false" ht="15.6" hidden="false" customHeight="false" outlineLevel="0" collapsed="false">
      <c r="A17" s="38" t="s">
        <v>63</v>
      </c>
      <c r="B17" s="18"/>
    </row>
    <row r="18" customFormat="false" ht="14.4" hidden="false" customHeight="false" outlineLevel="0" collapsed="false">
      <c r="A18" s="39"/>
      <c r="B18" s="40" t="s">
        <v>130</v>
      </c>
    </row>
    <row r="19" customFormat="false" ht="13.8" hidden="false" customHeight="false" outlineLevel="0" collapsed="false">
      <c r="A19" s="41" t="s">
        <v>1</v>
      </c>
      <c r="B19" s="41" t="s">
        <v>65</v>
      </c>
      <c r="C19" s="41" t="s">
        <v>66</v>
      </c>
      <c r="D19" s="41" t="s">
        <v>67</v>
      </c>
      <c r="E19" s="41" t="s">
        <v>4</v>
      </c>
    </row>
    <row r="20" customFormat="false" ht="13.2" hidden="false" customHeight="false" outlineLevel="0" collapsed="false">
      <c r="A20" s="42" t="s">
        <v>480</v>
      </c>
      <c r="B20" s="2" t="s">
        <v>259</v>
      </c>
      <c r="C20" s="2" t="s">
        <v>69</v>
      </c>
      <c r="D20" s="2" t="s">
        <v>430</v>
      </c>
      <c r="E20" s="1" t="s">
        <v>481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2002-06-16T13:36:44Z</dcterms:created>
  <dc:creator>Tomchin</dc:creator>
  <dc:description/>
  <dc:language>ru-RU</dc:language>
  <cp:lastModifiedBy/>
  <cp:lastPrinted>2008-02-22T21:19:54Z</cp:lastPrinted>
  <dcterms:modified xsi:type="dcterms:W3CDTF">2021-06-02T11:03:22Z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